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2.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jercicio 1" sheetId="1" r:id="rId4"/>
    <sheet state="visible" name="Ejercicio 2" sheetId="2" r:id="rId5"/>
    <sheet state="visible" name="Ejercicio 3" sheetId="3" r:id="rId6"/>
    <sheet state="visible" name="Ejercicio 4" sheetId="4" r:id="rId7"/>
    <sheet state="visible" name="Ejercicio 5" sheetId="5" r:id="rId8"/>
    <sheet state="visible" name="Ejercicio 6" sheetId="6" r:id="rId9"/>
    <sheet state="visible" name="Ejercicio 7, 8, 10" sheetId="7" r:id="rId10"/>
    <sheet state="visible" name="Ejercicio 9" sheetId="8" r:id="rId11"/>
    <sheet state="visible" name="Ejercicio 11 y 12" sheetId="9" r:id="rId12"/>
    <sheet state="visible" name="Ejercicio 13" sheetId="10" r:id="rId13"/>
    <sheet state="visible" name="Ejercicio 14" sheetId="11" r:id="rId14"/>
    <sheet state="visible" name="Ejercicio 15" sheetId="12" r:id="rId15"/>
    <sheet state="visible" name="Ejercicio 17" sheetId="13" r:id="rId16"/>
    <sheet state="visible" name="Ejercicio 18" sheetId="14" r:id="rId17"/>
    <sheet state="visible" name="Ejercicio 19" sheetId="15" r:id="rId18"/>
  </sheets>
  <definedNames/>
  <calcPr/>
  <pivotCaches>
    <pivotCache cacheId="0" r:id="rId19"/>
    <pivotCache cacheId="1" r:id="rId20"/>
  </pivotCaches>
</workbook>
</file>

<file path=xl/sharedStrings.xml><?xml version="1.0" encoding="utf-8"?>
<sst xmlns="http://schemas.openxmlformats.org/spreadsheetml/2006/main" count="1963" uniqueCount="553">
  <si>
    <t>Ámbito de análisis</t>
  </si>
  <si>
    <t>Características del ámbito</t>
  </si>
  <si>
    <t>Intereses de diversos sectores</t>
  </si>
  <si>
    <t>Problemas que se presentan</t>
  </si>
  <si>
    <t>¿De que manera el análisis de nexo aportará?</t>
  </si>
  <si>
    <t>Subcuenca del río Tolita</t>
  </si>
  <si>
    <t>Presencia de vegetación de páramos, bosques primarios y bosques secundarios.</t>
  </si>
  <si>
    <t>Incrementar la producción y rendimientos en áreas con riego (700 ha) y ampliar el acceso al riego (300 ha).</t>
  </si>
  <si>
    <t>Deforestación por actividades agropecuarias y mineras. También extracción no controlada de biomasa para el uso de leña.</t>
  </si>
  <si>
    <t>Comprensión y difusión de problemas e intereses de los actores en torno al uso de los recursos agua, energía y alimentos.</t>
  </si>
  <si>
    <t>Área de conservación de bosques (15% de la subcuenca corresponden a bosques pertencientes a una Reserva de Biósfera)</t>
  </si>
  <si>
    <t>Abastecimiento de agua en cantidad y calidad en el tiempo.</t>
  </si>
  <si>
    <t>Situación de pobreza de la población (39,3% de la población es pobre y el 12,8% es extremadamente pobre).</t>
  </si>
  <si>
    <t>Fortalecer la gobernanza, a través de la organización y coordinación entre actores y empoderar el Consejo de Cuenca.</t>
  </si>
  <si>
    <t>Suelos frágiles con problemas de erosión.</t>
  </si>
  <si>
    <t>Crecimiento del sector comercial e industrial que requiere servicios de agua potable y energía adecuados para sus procesos.</t>
  </si>
  <si>
    <t>Reducción del caudal de agua en meses específicos (ej. sequías), que ocasiona limitaciones en el abastecimiento de agua potable, agua para riego y producción hidroeléctrica.</t>
  </si>
  <si>
    <t>Mejorar la planificación del uso de suelos y recursos, a través de estrategias adecuadas (ej. zonificación, planes de uso, control y vigilancia, acuerdos, esquemas de conservación, etc.).</t>
  </si>
  <si>
    <t>Población urbana y rural que utiliza y se abastece de los recursos naturales (ej. agua para agricultura, consumo, hidroeléctrica, industria; biomasa para combustible; etc.).</t>
  </si>
  <si>
    <t>Conservar el régimen hídrico a través del cuidado de los suelos y su cobertura vegetal.</t>
  </si>
  <si>
    <t>Débil organización entre actores, escaza coordinación del Consejo de Cuencas, conflicto de  intereses entre los actores y limitado acceso al financiamiento.</t>
  </si>
  <si>
    <t>Visionar y planificar la sostenibilidad de los recursos naturales en busca de la seguridad hídrica, energética y alimentaria en la subcuenca.</t>
  </si>
  <si>
    <t>N°</t>
  </si>
  <si>
    <t>Tipo de actor</t>
  </si>
  <si>
    <t>Escala de actuación (ámbito de intervención)</t>
  </si>
  <si>
    <t>Roles y/o funciones</t>
  </si>
  <si>
    <t>Roles vinculados a los componentes de nexo</t>
  </si>
  <si>
    <t>Relevancia de participación en el análisis</t>
  </si>
  <si>
    <t>Descripción y/o actividades realizadas</t>
  </si>
  <si>
    <t>Gobierno Autónomo Descentralizado Provincial La Tola</t>
  </si>
  <si>
    <t>Provincial</t>
  </si>
  <si>
    <t>Normativo/ Regulador/ Control</t>
  </si>
  <si>
    <t>Agua, Energía, Alimentos</t>
  </si>
  <si>
    <t>Media</t>
  </si>
  <si>
    <t>Promueven el desarrollo social, económico y ambiental de su jurisdicción. Para ello disponen de planes estratégicos para los próximos 5 años, en los que se priorizaron apoyo a las actividades agropecuarias, pequeña y mediana industria, mejoramiento vial, recuperación y protección del ambiente. Así mismo se encargan de buscar y acceder a fuentes de financiamiento nacional o extranjero.</t>
  </si>
  <si>
    <t>Gobierno Autónomo Descentralizado del Cantón Nabu</t>
  </si>
  <si>
    <t>Local</t>
  </si>
  <si>
    <t>Alta</t>
  </si>
  <si>
    <t>Gobierno Autónomo Descentralizado Parroquial Bellavista</t>
  </si>
  <si>
    <t>Gobierno Autónomo Descentralizado Parroquial La Unión</t>
  </si>
  <si>
    <t>Gobierno Autónomo Descentralizado Parroquial El Triunfo</t>
  </si>
  <si>
    <t>Ministerio del Ambiente</t>
  </si>
  <si>
    <t>Nacional</t>
  </si>
  <si>
    <t xml:space="preserve">Agua </t>
  </si>
  <si>
    <t>En marco a su plan nacional de conservación, está implementando proyectos para la recuperación de áreas degradadas, monitoreo  y vigilancia de bosques y páramos.</t>
  </si>
  <si>
    <t>Ministerio de Energía Renovable</t>
  </si>
  <si>
    <t>Energía</t>
  </si>
  <si>
    <t>Promueve la inversión de proyectos para la generación de energía eléctrica, así también fiscaliza la operación de las empresas hidroeléctricas, distribuidores de hidrocarburos, distribuidores de energía eléctrica, entre otros que se encuentran en la subcuenca.</t>
  </si>
  <si>
    <t>Instituto Nacional de Meteorología e Hidrología (INAMHI)</t>
  </si>
  <si>
    <t>Regional</t>
  </si>
  <si>
    <t>Generador de información</t>
  </si>
  <si>
    <t>Agua</t>
  </si>
  <si>
    <t>Administra una estación meteorológica y una hidrológica en la subcuenca, a partir de la cual monitorean el tiempo y caudales del río Tola.</t>
  </si>
  <si>
    <t>Secretaria Nacional del Agua (SENAGUA)</t>
  </si>
  <si>
    <t>Dirige la gestión integral e integrada de los recursos hídricos. En la subcuenca autoriza y supervisa los usos de agua, así como evalúa el estado de las fuentes hídricas.</t>
  </si>
  <si>
    <t>Consejo de Cuenca "La Tolita"</t>
  </si>
  <si>
    <t>Coordinación de actores</t>
  </si>
  <si>
    <t>Agua - Alimentos - Energía</t>
  </si>
  <si>
    <t>Realización de reuniones de coordinación a fin de elaborar el plan de desarrollo para la cuenca.</t>
  </si>
  <si>
    <t>Empresa Eléctrica Local "El Rayo"</t>
  </si>
  <si>
    <t>Prestadores de servicio</t>
  </si>
  <si>
    <t>Distribuye la energía eléctrica a nivel urbano y rural, viene emprendiendo campañas de sensibilización acerca del uso eficiente de la energía, pero no ha logrado obtener los resultados esperados.</t>
  </si>
  <si>
    <t>ONG “Futuro Verde”</t>
  </si>
  <si>
    <t>Gestor/Ejecutor de proyectos de conservación y desarrollo</t>
  </si>
  <si>
    <t>Agua-Alimentos</t>
  </si>
  <si>
    <t>Viene ejecutando proyectos para recuperación y conservación de bosques, y mejoramiento de la producción agrícola.</t>
  </si>
  <si>
    <t>Cooperación técnica internacional</t>
  </si>
  <si>
    <t>Internacional</t>
  </si>
  <si>
    <t>Fortalecer procesos</t>
  </si>
  <si>
    <t>Agua - Alimentos</t>
  </si>
  <si>
    <t>Viene coordinando con los ministerios y la provincia, financiamiento para la ejecución de proyectos sobre agua, tecnificación de pequeñas y medianas empresas y mejoramiento de la producción agropecuaria.</t>
  </si>
  <si>
    <t>Universidad Tecnológica del Sur</t>
  </si>
  <si>
    <t>Generación de conocimiento</t>
  </si>
  <si>
    <t>A través de su centro de investigación, está ejecutando proyectos descriptivos y experimentales sobre recursos naturales e incremento de producción agropecuaria.</t>
  </si>
  <si>
    <t>Junta de Regantes Bellavista</t>
  </si>
  <si>
    <t>Prestadores de servicio/ Conservación</t>
  </si>
  <si>
    <t>Se encarga de mantener el estado adecuado de la infraestructura de distribución y programación de los turnos de riego, así como del empadronamiento de regantes de sus respectivas juntas. Estas organizaciones son quienes vienen demandando el incremento de caudal a distribuir, así como la ampliación del sistema de riego y mejoramiento a través de riego tecnificado.</t>
  </si>
  <si>
    <t>Junta de Regantes Tola</t>
  </si>
  <si>
    <t>Asociación de productores agropecuarios "San Rafael"</t>
  </si>
  <si>
    <t>Productores</t>
  </si>
  <si>
    <t xml:space="preserve">Agua - Alimentos </t>
  </si>
  <si>
    <t>Es una asociación sin fines de lucro, que se formó hace 5 años con la finalidad de ofrecer mejores productos en cantidad y calidad al mercado local . Es decir, mejorar su acceso al mercado y tener facilidad para el uso de recursos como el agua, acceder a programas de financiamiento y generar su propia marca de comercialización.</t>
  </si>
  <si>
    <t>Asociación de productores agropecuarios "AGROUNIÓN"</t>
  </si>
  <si>
    <t>Esta asociación tiene 10 años de creación, y está mejor posicionada en el medio local, dado que en los últimos años viene adecuando procesos de eficiencia hídrica y energética, por lo que ha implementado áreas de producción de compost y bioabonos. Sin embargo, aún tiene problemas para posicionarse en el mercado provincial. En la subcuenca participa y promueve de las actividades de conservación de bosques.</t>
  </si>
  <si>
    <t>Central Hidroeléctrica "Tolita Luz"</t>
  </si>
  <si>
    <t>Generador de electricidad</t>
  </si>
  <si>
    <t>Agua - Energía</t>
  </si>
  <si>
    <t>Lleva 15 años de operación y la producción energética es constante, aunque en los últimos 5 años ha presentando ligeras bajas de producción por la reducción del caudal. Por otro lado, en la subcuenca algunas zonas erosionadas les ocasionan problemas por los sedimentos, y demandan mayor presupuesto para el mantenimiento de desarenadores.</t>
  </si>
  <si>
    <t>Empresa de Agua Potable</t>
  </si>
  <si>
    <t>Proveer de agua potable para el consumo humano</t>
  </si>
  <si>
    <t>Abastece a la población local, a quienes viene sensibilizando en el uso eficiente y ahorro del agua. Sin embargo, muchos sectores urbanos aún no tienen el compromiso de cambio en sus hábitos de consumo, por lo que aún no ha logrado obtener importantes resultados.</t>
  </si>
  <si>
    <t>Ministerio de Agricultura</t>
  </si>
  <si>
    <t>Normativa/ Articuladores de la parte productiva</t>
  </si>
  <si>
    <t>Alimentos</t>
  </si>
  <si>
    <t>A través de los gobiernos autónomos descentralizados, viene coordinando la ejecución de proyectos para la mejora de infraestructura de aprovechamiento hídrico y capacitaciones para mejoramiento productivo.</t>
  </si>
  <si>
    <t>Seguridad hídrica</t>
  </si>
  <si>
    <t>Seguridad Energética</t>
  </si>
  <si>
    <t>Seguridad Alimentaria</t>
  </si>
  <si>
    <t>Contar con recursos hídricos accesibles para diversos usos</t>
  </si>
  <si>
    <t>Disponibilidad de redes eléctricas, fuentes combustibles y similares de manera permanente</t>
  </si>
  <si>
    <t>Producir alimentos sanos que garanticen una adecuada alimentación de la población</t>
  </si>
  <si>
    <t>Tener cantidad suficiente del recurso (caudal constante)</t>
  </si>
  <si>
    <t>Accesibilidad a conexión de  redes eléctricas y otras fuentes de energía</t>
  </si>
  <si>
    <t>Utilizar técnicas de producción que aseguren el autoconsumo, oferta contínua al mercado y que conserve las diversas variedades de los principales alimentos</t>
  </si>
  <si>
    <t>El recurso tenga adecuada calidad</t>
  </si>
  <si>
    <t>Mantenimiento de buen estado de infraestructura de distribución energética y/o venta de combustibles.</t>
  </si>
  <si>
    <t>Comercializar alimentos a precio justo que garantice la sostenibilidad de la producción</t>
  </si>
  <si>
    <t>El servicio de distribución sea eficiente</t>
  </si>
  <si>
    <t>Implementar o construir infraestructura para generar fuentes de energía limpia y sostenible.</t>
  </si>
  <si>
    <t>Utilizar técnicas apropiadas que no degraden recursos como el suelo, el agua, etc., asociados a la producción de alimentos.</t>
  </si>
  <si>
    <t>Conservar la disponibilidad natural de los recursos que brinda la naturaleza</t>
  </si>
  <si>
    <t>Utilizar con responsabilidad los diversos combustibles disponibles (ej. leña, carbón, gasolina, petroleo, etc.)</t>
  </si>
  <si>
    <t>Disponer de alimentos prioritarios y complementarios en el mercado local que puedan ser adquiridos por los diferente grupos sociales.</t>
  </si>
  <si>
    <t>Disponer de agua en cantidad, calidad, para que su uso, distribución, sea responsable enfocado a una conservación del recurso hídrico, alineados con un saneamiento adecuado.</t>
  </si>
  <si>
    <t xml:space="preserve">Acceso a recursos energéticos en cantidad y calidad, de manera permanente y utilizado de manera responsable que aseguren la provisión de fuentes y servicios de distribución. </t>
  </si>
  <si>
    <t xml:space="preserve">Asegurar la disponibilidad y diversificación continua de alimentos en volumen y calidad con producción responsable, necesarios para conservar la salud de la población. </t>
  </si>
  <si>
    <t xml:space="preserve">          </t>
  </si>
  <si>
    <t>Interacciones</t>
  </si>
  <si>
    <t>Interacciones: Agua - Alimentos</t>
  </si>
  <si>
    <t>Componente:</t>
  </si>
  <si>
    <t>Interacciones: Agua - Energía</t>
  </si>
  <si>
    <t>(1) Agua utilizada para el riego por inundación de cultivos y producción de alimentos.                                             (2) Agua utilizada para riego por aspersión de cultivos y producción de alimentos.                                                     (3) Agua utilizada para consumo humano.</t>
  </si>
  <si>
    <t>AGUA</t>
  </si>
  <si>
    <t>(1) Electricidad utilizada para procesos de operación de planta de tratamiento de agua potable.                                            (2) Combustibles utilizados para procesos de operación de planta de tratamiento de agua potable.                   (3) Agua utilizada para la producción de energía eléctrica.</t>
  </si>
  <si>
    <t>ALIMENTOS</t>
  </si>
  <si>
    <t>(1) Energía utilizada para producción de alimentos a través de maquinarias agrícolas.     (2) Energía utilizada para el procesamiento de productos a través de pequeñas o medianas empresas.                                                                          (3) Combustibles utilizados para el transporte de alimentos.                                                                          (4) Combustibles utilizados para la preparación de alimentos.                                                                           (5) Energía eléctrica utilizada para la preparación y conservación de alimentos.</t>
  </si>
  <si>
    <t>ENERGÍA</t>
  </si>
  <si>
    <t>Interacciones: Energía - Alimentos</t>
  </si>
  <si>
    <t>Sector</t>
  </si>
  <si>
    <t>Cuenca alta</t>
  </si>
  <si>
    <t>(1) Agua utilizada para consumo humano de población rural.</t>
  </si>
  <si>
    <t xml:space="preserve">(1) Combustibles utilizados para el transporte de alimentos.                                                                          (2) Leña utilizada para la preparación de alimentos.                                                                           </t>
  </si>
  <si>
    <t>Cuenca media</t>
  </si>
  <si>
    <t>(1) Agua utilizada para consumo humano de población rural.                 (2)Agua utilizada para riego por inundación de cultivos y producción de alimentos.</t>
  </si>
  <si>
    <t xml:space="preserve">(1) Agua utilizada para la producción de energía eléctrica.                                                (2) Electricidad utilizada para procesos de operación de planta de tratamiento de agua potable.                                            (3) Combustibles utilizados para procesos de operación de planta de tratamiento de agua potable. </t>
  </si>
  <si>
    <t xml:space="preserve">(1) Energía utilizada para el procesamiento de productos a través de pequeñas empresas.                                                                          (2) Combustibles utilizados para el transporte de alimentos.                                                                          (3) Leña y gas utilizados para la preparación de alimentos.                                                                           </t>
  </si>
  <si>
    <t>Cuenca baja</t>
  </si>
  <si>
    <t>(1) Energía utilizada para producción de alimentos a través de maquinarias agrícolas.     (2) Energía utilizada para el procesamiento de productos a través de pequeñas o medianas empresas.                                                                          (3) Combustibles utilizados para el transporte de alimentos.                                                                          (4) Gas y leña utilizados para la preparación de alimentos.                                                                           (5) Energía eléctrica utilizada para la preparación y conservación de alimentos.</t>
  </si>
  <si>
    <t>Interacción/ Componente</t>
  </si>
  <si>
    <t>Indicadores</t>
  </si>
  <si>
    <t>Número de consumidores de agua</t>
  </si>
  <si>
    <t>Consumo per capita en zona urbana y rural</t>
  </si>
  <si>
    <t>Demanda de agua por tipo de cultivo</t>
  </si>
  <si>
    <t>Demanda de agua por actividad comercial e industrial</t>
  </si>
  <si>
    <t>Energía - Alimentos</t>
  </si>
  <si>
    <t>Número de consumidores de electricidad</t>
  </si>
  <si>
    <t>Consumo de energía eléctrica según vivienda</t>
  </si>
  <si>
    <t>Consumo de electricidad por actividad comercial</t>
  </si>
  <si>
    <t>Consumo de energía eléctrica para producción de alimentos</t>
  </si>
  <si>
    <t>Cantidad de combustibles utilizados para el transporte de alimentos</t>
  </si>
  <si>
    <t>Consumo de energía eléctrica para procesamiento de alimentos</t>
  </si>
  <si>
    <t>Caudal utilizado para generación de energía eléctrica</t>
  </si>
  <si>
    <t>Energía eléctrica utilizada para el proceso de potabilización de agua.</t>
  </si>
  <si>
    <t>Producción por tipo de alimento</t>
  </si>
  <si>
    <t>Caudal de agua según fuentes hídricas</t>
  </si>
  <si>
    <t>Energía producida por la central hidroeléctrica</t>
  </si>
  <si>
    <t>Año</t>
  </si>
  <si>
    <t>Tipo</t>
  </si>
  <si>
    <t>Interacción/Componente</t>
  </si>
  <si>
    <t>Infraestructura/proceso</t>
  </si>
  <si>
    <t>Uso Sectorial</t>
  </si>
  <si>
    <t>Indicador según uso específico</t>
  </si>
  <si>
    <t>Unidad</t>
  </si>
  <si>
    <t>Dato estudio de caso</t>
  </si>
  <si>
    <t>Número de conexiones</t>
  </si>
  <si>
    <t>Volumen o cantidad unitaria</t>
  </si>
  <si>
    <t>Volumen parcial</t>
  </si>
  <si>
    <t>Resumen TABLA DINÁMICA</t>
  </si>
  <si>
    <t>RESUMEN Y CONVERSIÓN DE UNIDADES</t>
  </si>
  <si>
    <t>RESUMEN CONSOLIDADO Y HOMOGENIZADO</t>
  </si>
  <si>
    <t>Oferta</t>
  </si>
  <si>
    <t>Infraestructura de captación</t>
  </si>
  <si>
    <t>Consumo humano</t>
  </si>
  <si>
    <t>Agua potable ofertada</t>
  </si>
  <si>
    <t>m3/año</t>
  </si>
  <si>
    <t>40 millones de m3/año</t>
  </si>
  <si>
    <t>Suma de Volumen parcial</t>
  </si>
  <si>
    <t>Cantidad</t>
  </si>
  <si>
    <t>Unidad a homogenizar</t>
  </si>
  <si>
    <t>Cantidad homogenizada</t>
  </si>
  <si>
    <t>Interacción</t>
  </si>
  <si>
    <t>Infraestructura de generación</t>
  </si>
  <si>
    <t>Producción de energía hidroeléctrica</t>
  </si>
  <si>
    <t>Energía eléctrica ofertada</t>
  </si>
  <si>
    <t>kwh/año</t>
  </si>
  <si>
    <t>1.7 Gwh/año</t>
  </si>
  <si>
    <t>Demanda</t>
  </si>
  <si>
    <t>Agua utilizada para generación de energía</t>
  </si>
  <si>
    <t>Agua para riego tecnificado</t>
  </si>
  <si>
    <t>Infraestructura natural</t>
  </si>
  <si>
    <t>Provisión hídrica</t>
  </si>
  <si>
    <t>Agua disponible</t>
  </si>
  <si>
    <t>18750 millones de m3/año</t>
  </si>
  <si>
    <t>Consumo comercial de agua (zona urbana)</t>
  </si>
  <si>
    <t>Producción cultivos varios (riego tecnificado)</t>
  </si>
  <si>
    <t>millones de m3/año</t>
  </si>
  <si>
    <t>Agua para riego tradicional</t>
  </si>
  <si>
    <t>Bosques o sistemas agroforestales</t>
  </si>
  <si>
    <t>Biomasa</t>
  </si>
  <si>
    <t>Biomasa disponible</t>
  </si>
  <si>
    <t>tn/año</t>
  </si>
  <si>
    <t>1.56 millones de tn</t>
  </si>
  <si>
    <t>Consumo de Aceites y grasas (Zona Rural) - Procesado/Importado</t>
  </si>
  <si>
    <t>Producción cultivos varios (riego inundación)</t>
  </si>
  <si>
    <t>Agua para consumo humano</t>
  </si>
  <si>
    <t>Transporte de productos locales</t>
  </si>
  <si>
    <t>Consumo de alimentos locales</t>
  </si>
  <si>
    <t>Hidrocarburos utilizados en transporte de alimentos locales</t>
  </si>
  <si>
    <t>gln/año</t>
  </si>
  <si>
    <t>2.53 millones de gln/año</t>
  </si>
  <si>
    <t>Consumo de Aceites y grasas (zona Urbana) - Procesado/Importado</t>
  </si>
  <si>
    <t>Consumo doméstico de agua (zona urbana)</t>
  </si>
  <si>
    <t>Agua para producción industrial</t>
  </si>
  <si>
    <t>Transporte de productos importados</t>
  </si>
  <si>
    <t>Consumo de alimentos importados</t>
  </si>
  <si>
    <t>Hidrocarburos utilizados en transporte de alimentos importados</t>
  </si>
  <si>
    <t>45.2 millones de gln/año</t>
  </si>
  <si>
    <t>Consumo de Agua mineral, refrescos, jugos (Zona Rural)  - Procesado/Importado</t>
  </si>
  <si>
    <t>Agua para hidroeléctrica</t>
  </si>
  <si>
    <t>Estaciones de servicio</t>
  </si>
  <si>
    <t>Hidrocarburos</t>
  </si>
  <si>
    <t>Hidrocarburos disponibles en el mercado local</t>
  </si>
  <si>
    <t>19.5 millones de gln/año</t>
  </si>
  <si>
    <t>Consumo de Agua mineral, refrescos, jugos (zona Urbana)  - Procesado/Importado</t>
  </si>
  <si>
    <t>Consumo social de agua (zona urbana)</t>
  </si>
  <si>
    <t>Consumo de energía eléctrica para operación y distribución de agua</t>
  </si>
  <si>
    <t>TJ</t>
  </si>
  <si>
    <t>Red urbana</t>
  </si>
  <si>
    <t>80000 conexiones, 25 m3/mes</t>
  </si>
  <si>
    <t>Consumo de carnes (Zona Rural) - Fresco/Importado</t>
  </si>
  <si>
    <t>Consumo industrial de agua (zona urbana)</t>
  </si>
  <si>
    <t>Consumo de hidrocarburos para operación y distribución de agua</t>
  </si>
  <si>
    <t>2000 tiendas, 30 m3/mes</t>
  </si>
  <si>
    <t>Consumo de Carnes (Zona Rural) - Fresco/Local</t>
  </si>
  <si>
    <t>Consumo doméstico de agua (zona rural)</t>
  </si>
  <si>
    <t>100 centros, 45 m3/mes</t>
  </si>
  <si>
    <t>Consumo de carnes (zona Urbana) - Fresco/Importado</t>
  </si>
  <si>
    <t>Agua-Energía</t>
  </si>
  <si>
    <t>Consumo de energía eléctrica para preparación de alimentos</t>
  </si>
  <si>
    <t>50 empresas, 125 m3/mes</t>
  </si>
  <si>
    <t>Consumo de Carnes (zona Urbana) - Fresco/Local</t>
  </si>
  <si>
    <t>Energía-Agua</t>
  </si>
  <si>
    <t>Consumo proceso Empresa de Agua (operación, distribución)</t>
  </si>
  <si>
    <t>Consumo de gas para preparación de alimentos (incluye zona urbana y rural)</t>
  </si>
  <si>
    <t>Red rural</t>
  </si>
  <si>
    <t>4500 conexiones, 15.5 m3/mes</t>
  </si>
  <si>
    <t>Consumo de Cereales (Zona Rural) - Procesado/Local</t>
  </si>
  <si>
    <t>Consumo procesos  varios Empresa de Agua</t>
  </si>
  <si>
    <t>Consumo de biomasa para preparación de alimentos (incluye usos de leña y carbón en la zona urbana y rural)</t>
  </si>
  <si>
    <t>Red canales y uso tecnificado</t>
  </si>
  <si>
    <t>Agricultura</t>
  </si>
  <si>
    <t>20km2, 4500 m3/ha/año</t>
  </si>
  <si>
    <t>Consumo de Cereales (Zona Urbana)  - Procesado/Local</t>
  </si>
  <si>
    <t>Energía-Alimentos</t>
  </si>
  <si>
    <t>Consumo energía procesamiento alimentos</t>
  </si>
  <si>
    <t>Consumo de hidrocarburos para producción agrícola</t>
  </si>
  <si>
    <t>Red canales</t>
  </si>
  <si>
    <t>700km2, 6000 m3/ha/año</t>
  </si>
  <si>
    <t>Consumo de energía por uso doméstico (refrigerador, licuadora, cafetera, etc.)</t>
  </si>
  <si>
    <t>Uso de Hidrocarburos para transporte de alimentos locales</t>
  </si>
  <si>
    <t>3.5m3/s</t>
  </si>
  <si>
    <t>Consumo de Frutas (Zona Rural)  - Fresco/Local</t>
  </si>
  <si>
    <t>Consumo doméstico de gas (zona urbana)</t>
  </si>
  <si>
    <t>Uso de Hidrocarburos para transporte de alimentos importados</t>
  </si>
  <si>
    <t>Electricidad</t>
  </si>
  <si>
    <t>1054401 kwh/año total consumido por todas las empresas</t>
  </si>
  <si>
    <t>Consumo de Frutas (Zona Urbana)  - Fresco/Local</t>
  </si>
  <si>
    <t>Consumo doméstico de gas (zona rural)</t>
  </si>
  <si>
    <t>376025 kwh/año para el uso domestico</t>
  </si>
  <si>
    <t>Consumo de Frutas (zona Urbana) - Fresco/Importado</t>
  </si>
  <si>
    <t>Consumo doméstico de leña (zona urbana)</t>
  </si>
  <si>
    <t>Energía - Agua</t>
  </si>
  <si>
    <t>1000 kwh/mes</t>
  </si>
  <si>
    <t>Consumo de gasolina producción agrícola</t>
  </si>
  <si>
    <t>Consumo doméstico de carbón (zona urbana)</t>
  </si>
  <si>
    <t>30 gln/mes</t>
  </si>
  <si>
    <t>Consumo de Harinas (Zona Rural)  - Procesado/Importado</t>
  </si>
  <si>
    <t>Consumo doméstico de leña (zona rural)</t>
  </si>
  <si>
    <t>2% de gasolina, 45% del total de combustible, 19.5 millones de gln</t>
  </si>
  <si>
    <t>Consumo de Harinas (zona Urbana)  - Procesado/Importado</t>
  </si>
  <si>
    <t>SUMAS PARCIALES SEGÚN AGRUPACIÓN DE ALIMENTOS</t>
  </si>
  <si>
    <t>136687 gln/año</t>
  </si>
  <si>
    <t>Consumo de Hortalizas (zona Urbana) - Fresco/Importado</t>
  </si>
  <si>
    <t>miles de tn/año</t>
  </si>
  <si>
    <t>Fresco</t>
  </si>
  <si>
    <t>Procesado</t>
  </si>
  <si>
    <t>15500 gln/año</t>
  </si>
  <si>
    <t>Consumo de Productos de panadería (Zona Rural) - Procesado/Local</t>
  </si>
  <si>
    <t>Comercio urbano</t>
  </si>
  <si>
    <t>30% de 350000 habitantes, 1 kg/hab/día</t>
  </si>
  <si>
    <t>Consumo de Productos de panadería (Zona Urbana)  - Procesado/Local</t>
  </si>
  <si>
    <t>Importado</t>
  </si>
  <si>
    <t>30% de 350000 habitantes, 0.5 kg/hab/día</t>
  </si>
  <si>
    <t>Consumo de Productos lácteos (Zona Rural) - Procesado/Local</t>
  </si>
  <si>
    <t>Consumo de Tubérculos y derivados (zona Urbana) - Fresco/Importado</t>
  </si>
  <si>
    <t>Recolección</t>
  </si>
  <si>
    <t>25000 habitantes, 3 kg/hab/día</t>
  </si>
  <si>
    <t>Consumo de Productos lácteos (Zona Urbana)  - Procesado/Local</t>
  </si>
  <si>
    <t>Transporte foráneo</t>
  </si>
  <si>
    <t>Consumo de productos frescos</t>
  </si>
  <si>
    <t>350000 habitantes, 200 gr/hab/día</t>
  </si>
  <si>
    <t>Consumo de Tubérculos y derivados (Zona Rural)  - Fresco/Importado</t>
  </si>
  <si>
    <t>350000 habitantes, 100 gr/hab/día</t>
  </si>
  <si>
    <t>Consumo de Tubérculos y derivados (Zona Rural) - Fresco/Local</t>
  </si>
  <si>
    <t>350000 habitantes, 150 gr/hab/día</t>
  </si>
  <si>
    <t>Consumo de Tubérculos y derivados (Zona Urbana)  - Fresco/Local</t>
  </si>
  <si>
    <t>Consumo de productos procesados</t>
  </si>
  <si>
    <t>350000 habitantes, 70 gr/hab/día</t>
  </si>
  <si>
    <t>350000 habitantes, 1000 gr/hab/día</t>
  </si>
  <si>
    <t>350000 habitantes, 270 gr/hab/día</t>
  </si>
  <si>
    <t>Transporte local</t>
  </si>
  <si>
    <t>350000 habitantes, 300 gr/hab/día</t>
  </si>
  <si>
    <t>350000 habitantes, 250 gr/hab/día</t>
  </si>
  <si>
    <t>350000 habitantes, 170 gr/hab/día</t>
  </si>
  <si>
    <t>25000 habitantes, 120 gr/hab/día</t>
  </si>
  <si>
    <t>25000 habitantes, 60 gr/hab/día</t>
  </si>
  <si>
    <t>25000 habitantes, 50 gr/hab/día</t>
  </si>
  <si>
    <t>25000 habitantes, 800 gr/hab/día</t>
  </si>
  <si>
    <t>25000 habitantes, 220 gr/hab/día</t>
  </si>
  <si>
    <t>25000 habitantes, 90 gr/hab/día</t>
  </si>
  <si>
    <t>Total Demanda</t>
  </si>
  <si>
    <t>25000 habitantes, 300 gr/hab/día</t>
  </si>
  <si>
    <t>25000 habitantes, 400 gr/hab/día</t>
  </si>
  <si>
    <t>25000 habitantes, 150 gr/hab/día</t>
  </si>
  <si>
    <t>25000 habitantes, 100 gr/hab/día</t>
  </si>
  <si>
    <t>25000 habitantes, 200 gr/hab/día</t>
  </si>
  <si>
    <t>Total Oferta</t>
  </si>
  <si>
    <t>Suma total</t>
  </si>
  <si>
    <t>De</t>
  </si>
  <si>
    <t>A</t>
  </si>
  <si>
    <t>Factor</t>
  </si>
  <si>
    <t>Fuente</t>
  </si>
  <si>
    <t>1 kg equivale a</t>
  </si>
  <si>
    <t>lb</t>
  </si>
  <si>
    <t>http://sie.energia.gob.mx/docs/cat_unidades_es.pdf</t>
  </si>
  <si>
    <t>1 lb de madera equivale a</t>
  </si>
  <si>
    <t>BTU</t>
  </si>
  <si>
    <t>http://www.emsenergy.com/herramientas-de-energia</t>
  </si>
  <si>
    <t xml:space="preserve">1 lb de carbón equivale a </t>
  </si>
  <si>
    <t>1 gln de Gas propano equivale a</t>
  </si>
  <si>
    <t xml:space="preserve">1 BTU equivale a </t>
  </si>
  <si>
    <t>joules</t>
  </si>
  <si>
    <t>1 gln de Petróleo equivale a</t>
  </si>
  <si>
    <t>kWH</t>
  </si>
  <si>
    <t>http://ptcentre.net46.net/documents/eselec11.html</t>
  </si>
  <si>
    <t>1 kWh equivale a</t>
  </si>
  <si>
    <t>1 gln de Gasolina equivale a</t>
  </si>
  <si>
    <t>1 tera jule kWh</t>
  </si>
  <si>
    <t>1 tera jule de gln</t>
  </si>
  <si>
    <t>kg a Jules madera</t>
  </si>
  <si>
    <t>kg a Jules carbon</t>
  </si>
  <si>
    <t>Presión</t>
  </si>
  <si>
    <t>Variable representativa para la medición</t>
  </si>
  <si>
    <t>actual (2019)</t>
  </si>
  <si>
    <t>Promedio</t>
  </si>
  <si>
    <t>Máximo</t>
  </si>
  <si>
    <t>Mínimo</t>
  </si>
  <si>
    <t>Porcentaje</t>
  </si>
  <si>
    <t>Periodo</t>
  </si>
  <si>
    <t>Económico</t>
  </si>
  <si>
    <t>Crecimiento económico de empresas</t>
  </si>
  <si>
    <t>Demanda de energía para procesamiento de alimentos</t>
  </si>
  <si>
    <t>Incremento en consumo promedio mensual para categoría industrial</t>
  </si>
  <si>
    <t>Incremento de área agrícola con riego</t>
  </si>
  <si>
    <t>Área bajo riego tradicional</t>
  </si>
  <si>
    <t>ha</t>
  </si>
  <si>
    <t>600 km2</t>
  </si>
  <si>
    <t>al 2025</t>
  </si>
  <si>
    <t>Área bajo riego tecnificado</t>
  </si>
  <si>
    <t>400 km2</t>
  </si>
  <si>
    <t>Social</t>
  </si>
  <si>
    <t>Crecimiento poblacional</t>
  </si>
  <si>
    <t>Tasa de crecimiento anual urbano</t>
  </si>
  <si>
    <t>%</t>
  </si>
  <si>
    <t>anual</t>
  </si>
  <si>
    <t>Tasa de crecimiento anual rural</t>
  </si>
  <si>
    <t>Demanda de energía para preparación de alimentos</t>
  </si>
  <si>
    <t>Ambiental</t>
  </si>
  <si>
    <t>Cambio climático</t>
  </si>
  <si>
    <t>Reducción de caudal de agua</t>
  </si>
  <si>
    <t>Perdidas de cultivos locales por incremento de temperatura</t>
  </si>
  <si>
    <t>miles tn/año</t>
  </si>
  <si>
    <t>Alimentos locales producidos</t>
  </si>
  <si>
    <t>miles de tn</t>
  </si>
  <si>
    <t>Alimentos importados</t>
  </si>
  <si>
    <t>Combustible para transporte local</t>
  </si>
  <si>
    <t>Combustible para importación</t>
  </si>
  <si>
    <t>Gasolina utilizada para producción agrícola</t>
  </si>
  <si>
    <t>Año:</t>
  </si>
  <si>
    <t>Escenarios</t>
  </si>
  <si>
    <t>Optimista</t>
  </si>
  <si>
    <t>Condiciones actuales</t>
  </si>
  <si>
    <t>Pesimista</t>
  </si>
  <si>
    <t>Incrementan las áreas de riego bajo sistema tecnificado</t>
  </si>
  <si>
    <t>Tendencias actuales y/o proyecciones de estudios</t>
  </si>
  <si>
    <t>Reducen las áreas de riego bajo sistema tecnificado</t>
  </si>
  <si>
    <t>De acuerdo con el estudio de caso, será de 400 km2</t>
  </si>
  <si>
    <t>20 km2</t>
  </si>
  <si>
    <t>Se mantiene el área bajo riego tradicional</t>
  </si>
  <si>
    <t>Se incrementan el área bajo riego tradicional</t>
  </si>
  <si>
    <t>De acuerdo con el estudio de caso, será de 600 km2</t>
  </si>
  <si>
    <t>700 km2</t>
  </si>
  <si>
    <t>Se disminuye el consumo promedio per-cápita por prácticas ecoeficientes</t>
  </si>
  <si>
    <t>Se mantiene el consumo promedio per-capita del agua</t>
  </si>
  <si>
    <t>El consumo de todas las categorías se reduce en 10%, debido a prácticas ecoeficientes</t>
  </si>
  <si>
    <t>variación según población y número de establecimientos</t>
  </si>
  <si>
    <t>El consumo de esta categoría se reduce en 10%</t>
  </si>
  <si>
    <t>Caudal disponible y constante para generación de energía</t>
  </si>
  <si>
    <t>Reducción del caudal disponible para generación de energía</t>
  </si>
  <si>
    <t>Caudal se mantiene (3 m3/s)</t>
  </si>
  <si>
    <t>caudal se mantiene (3 m3/s)</t>
  </si>
  <si>
    <t>El caudal se reduce en  5%</t>
  </si>
  <si>
    <t>Se incrementa el consumo por mayor demanda poblacional</t>
  </si>
  <si>
    <t xml:space="preserve">Se mantiene el consumo </t>
  </si>
  <si>
    <t>El consumo se mantiene, dado que se oferta la misma cantidad de agua</t>
  </si>
  <si>
    <t>Se incrementa el consumo por crecimiento económico</t>
  </si>
  <si>
    <t>Se reduce el consumo por limitado crecimiento económico</t>
  </si>
  <si>
    <t>De acuerdo con la serie histórica, esta se incrementará  en 13.64% anual</t>
  </si>
  <si>
    <t>Se incrementa en 5.33%</t>
  </si>
  <si>
    <t>Se mantiene el consumo del año actual</t>
  </si>
  <si>
    <t>Se incrementa el consumo debido al crecimiento poblacional</t>
  </si>
  <si>
    <t>De acuerdo con la serie histórica, esta se incrementará  en 29.87% anual</t>
  </si>
  <si>
    <t>Se incrementa en 12.5%</t>
  </si>
  <si>
    <t>El consumo de gas se incrementa en 10%, debido al crecimiento poblacional</t>
  </si>
  <si>
    <t>Se incrementa el consumo de hidrocarburos por crecimiento de la actividad agrícola</t>
  </si>
  <si>
    <t>Se reduce el consumo de  hidrocarburos por reducción de la actividad agrícola</t>
  </si>
  <si>
    <t>Dependerá del volumen de alimentos locales producidos (frescos y procesados) y considerando las pérdidas del 3% consideradas por efectos del cambio climático</t>
  </si>
  <si>
    <t>Se demanda mayor cantidad de hidrocarburos por crecimiento de la actividad agrícola</t>
  </si>
  <si>
    <t>Se demanda menor cantidad de hidrocarburos por reducción de la actividad agrícola</t>
  </si>
  <si>
    <t>Se demanda mayor cantidad de hidrocarburos por crecimiento de la importaciones</t>
  </si>
  <si>
    <t>Se demanda menor cantidad de hidrocarburos por reducción de la importaciones</t>
  </si>
  <si>
    <t>Dependerá del volumen de alimentos importados (frescos y procesados)</t>
  </si>
  <si>
    <r>
      <rPr>
        <rFont val="Calibri"/>
        <color rgb="FFFF0000"/>
        <sz val="11.0"/>
      </rPr>
      <t>18750 millones de m3/año,</t>
    </r>
    <r>
      <rPr>
        <rFont val="Calibri"/>
        <color theme="1"/>
        <sz val="11.0"/>
      </rPr>
      <t xml:space="preserve"> </t>
    </r>
    <r>
      <rPr>
        <rFont val="Calibri"/>
        <color rgb="FFFF0000"/>
        <sz val="11.0"/>
      </rPr>
      <t>-5% por reducción de CC al 2025</t>
    </r>
  </si>
  <si>
    <t>(en función del volumen total de alimentos a transportar)</t>
  </si>
  <si>
    <r>
      <rPr>
        <rFont val="Calibri"/>
        <color rgb="FFFF0000"/>
        <sz val="11.0"/>
      </rPr>
      <t>83888 conexiones</t>
    </r>
    <r>
      <rPr>
        <rFont val="Calibri"/>
        <color theme="1"/>
        <sz val="11.0"/>
      </rPr>
      <t xml:space="preserve">, 25 m3/mes, </t>
    </r>
    <r>
      <rPr>
        <rFont val="Calibri"/>
        <color rgb="FFFF0000"/>
        <sz val="11.0"/>
      </rPr>
      <t>eficiencia de uso: -10% al consumo</t>
    </r>
  </si>
  <si>
    <r>
      <rPr>
        <rFont val="Calibri"/>
        <color theme="1"/>
        <sz val="11.0"/>
      </rPr>
      <t xml:space="preserve">2000 tiendas, 30 m3/mes, </t>
    </r>
    <r>
      <rPr>
        <rFont val="Calibri"/>
        <color rgb="FFFF0000"/>
        <sz val="11.0"/>
      </rPr>
      <t>+10% de usuarios, eficiencia de uso: -10% al consumo</t>
    </r>
  </si>
  <si>
    <r>
      <rPr>
        <rFont val="Calibri"/>
        <color theme="1"/>
        <sz val="11.0"/>
      </rPr>
      <t xml:space="preserve">100 centros, 45 m3/mes, </t>
    </r>
    <r>
      <rPr>
        <rFont val="Calibri"/>
        <color rgb="FFFF0000"/>
        <sz val="11.0"/>
      </rPr>
      <t>+10% de usuarios, eficiencia de uso: -10% al consumo</t>
    </r>
  </si>
  <si>
    <r>
      <rPr>
        <rFont val="Calibri"/>
        <color theme="1"/>
        <sz val="11.0"/>
      </rPr>
      <t xml:space="preserve">50 empresas, 125 m3/mes, </t>
    </r>
    <r>
      <rPr>
        <rFont val="Calibri"/>
        <color rgb="FFFF0000"/>
        <sz val="11.0"/>
      </rPr>
      <t>+10% de usuarios eficiencia de uso: -10% al consumo</t>
    </r>
  </si>
  <si>
    <r>
      <rPr>
        <rFont val="Calibri"/>
        <color rgb="FFFF0000"/>
        <sz val="11.0"/>
      </rPr>
      <t>4683 conexiones</t>
    </r>
    <r>
      <rPr>
        <rFont val="Calibri"/>
        <color theme="1"/>
        <sz val="11.0"/>
      </rPr>
      <t>, 15.5 m3/mes</t>
    </r>
  </si>
  <si>
    <r>
      <rPr>
        <rFont val="Calibri"/>
        <color rgb="FFFF0000"/>
        <sz val="11.0"/>
      </rPr>
      <t>400km2</t>
    </r>
    <r>
      <rPr>
        <rFont val="Calibri"/>
        <color theme="1"/>
        <sz val="11.0"/>
      </rPr>
      <t>, 4500 m3/ha/año</t>
    </r>
  </si>
  <si>
    <r>
      <rPr>
        <rFont val="Calibri"/>
        <color rgb="FFFF0000"/>
        <sz val="11.0"/>
      </rPr>
      <t>600km2</t>
    </r>
    <r>
      <rPr>
        <rFont val="Calibri"/>
        <color theme="1"/>
        <sz val="11.0"/>
      </rPr>
      <t>, 6000 m3/ha/año</t>
    </r>
  </si>
  <si>
    <r>
      <rPr>
        <rFont val="Calibri"/>
        <color theme="1"/>
        <sz val="11.0"/>
      </rPr>
      <t xml:space="preserve">1054401 kwh/año total consumido por todas las empresas, </t>
    </r>
    <r>
      <rPr>
        <rFont val="Calibri"/>
        <color rgb="FFFF0000"/>
        <sz val="11.0"/>
      </rPr>
      <t>+13.64% anual</t>
    </r>
  </si>
  <si>
    <r>
      <rPr>
        <rFont val="Calibri"/>
        <color theme="1"/>
        <sz val="11.0"/>
      </rPr>
      <t xml:space="preserve">376025 kwh/año para el uso domestico, </t>
    </r>
    <r>
      <rPr>
        <rFont val="Calibri"/>
        <color rgb="FFFF0000"/>
        <sz val="11.0"/>
      </rPr>
      <t>+29.87% anual</t>
    </r>
  </si>
  <si>
    <t>(en función del volumen total de alimentos locales a producir)</t>
  </si>
  <si>
    <r>
      <rPr>
        <rFont val="Calibri"/>
        <color theme="1"/>
        <sz val="11.0"/>
      </rPr>
      <t>136687 gln/año</t>
    </r>
    <r>
      <rPr>
        <rFont val="Calibri"/>
        <color rgb="FFFF0000"/>
        <sz val="11.0"/>
      </rPr>
      <t>, +10% por crecimiento poblacional</t>
    </r>
  </si>
  <si>
    <t>Pérdidas</t>
  </si>
  <si>
    <r>
      <rPr>
        <rFont val="Calibri"/>
        <color theme="1"/>
        <sz val="11.0"/>
      </rPr>
      <t>15500 gln/año,</t>
    </r>
    <r>
      <rPr>
        <rFont val="Calibri"/>
        <color rgb="FFFF0000"/>
        <sz val="11.0"/>
      </rPr>
      <t xml:space="preserve"> +10% por crecimiento poblacional</t>
    </r>
  </si>
  <si>
    <t>30% de 369110 habitantes, 1 kg/hab/día</t>
  </si>
  <si>
    <t>30% de 369110  habitantes, 0.5 kg/hab/día</t>
  </si>
  <si>
    <t>25759 habitantes, 3 kg/hab/día</t>
  </si>
  <si>
    <t>369110  habitantes, 200 gr/hab/día</t>
  </si>
  <si>
    <t>369110  habitantes, 100 gr/hab/día</t>
  </si>
  <si>
    <t>369110 habitantes, 150 gr/hab/día</t>
  </si>
  <si>
    <t>369110  habitantes, 70 gr/hab/día</t>
  </si>
  <si>
    <t>369110  habitantes, 1000 gr/hab/día</t>
  </si>
  <si>
    <t>369110  habitantes, 270 gr/hab/día</t>
  </si>
  <si>
    <t>369110  habitantes, 300 gr/hab/día</t>
  </si>
  <si>
    <t>369110  habitantes, 250 gr/hab/día</t>
  </si>
  <si>
    <t>369110  habitantes, 170 gr/hab/día</t>
  </si>
  <si>
    <t>25759 habitantes, 120 gr/hab/día</t>
  </si>
  <si>
    <t>25759 habitantes, 60 gr/hab/día</t>
  </si>
  <si>
    <t>25759 habitantes, 50 gr/hab/día</t>
  </si>
  <si>
    <t>25759 habitantes, 800 gr/hab/día</t>
  </si>
  <si>
    <t>25759 habitantes, 220 gr/hab/día</t>
  </si>
  <si>
    <t>25759 habitantes, 90 gr/hab/día</t>
  </si>
  <si>
    <t>25759 habitantes, 300 gr/hab/día</t>
  </si>
  <si>
    <t>25759 habitantes, 400 gr/hab/día</t>
  </si>
  <si>
    <t>25759 habitantes, 150 gr/hab/día</t>
  </si>
  <si>
    <t>25759 habitantes, 100 gr/hab/día</t>
  </si>
  <si>
    <t>25759 habitantes, 200 gr/hab/día</t>
  </si>
  <si>
    <t>Dimensión</t>
  </si>
  <si>
    <t>Utilización</t>
  </si>
  <si>
    <t>Accesibilidad</t>
  </si>
  <si>
    <t>Disponibilidad</t>
  </si>
  <si>
    <t>Actores</t>
  </si>
  <si>
    <t>Gobierno Local Provincial La Tola</t>
  </si>
  <si>
    <t>Gobierno Local del Cantón Nabu</t>
  </si>
  <si>
    <t>Gobierno Local Parroquial Bellavista</t>
  </si>
  <si>
    <t>Secretaria Nacional del Agua</t>
  </si>
  <si>
    <t>Gobierno Local Parroquial La Unión</t>
  </si>
  <si>
    <t>Población urbana</t>
  </si>
  <si>
    <t>Gobierno Local Parroquial El Triunfo</t>
  </si>
  <si>
    <t>Población rural</t>
  </si>
  <si>
    <t>Empresas locales de procesamiento de alimentos</t>
  </si>
  <si>
    <t>Política</t>
  </si>
  <si>
    <t>Expediente para la construcción de planta de tratamiento de aguas residuales</t>
  </si>
  <si>
    <t>Plan de inversión anual para el sistema de agua potable</t>
  </si>
  <si>
    <t>Plan Maestro para Conservación de Cuencas</t>
  </si>
  <si>
    <t>Programa educativo y sensibilización en el uso responsable del agua potable</t>
  </si>
  <si>
    <t>Proyecto para la construcción y ampliación de red de canales de riego</t>
  </si>
  <si>
    <t>Estudio para el aprovechamiento y extracción de agua subterránea para el consumo poblacional urbano</t>
  </si>
  <si>
    <t>Plan del uso responsable del agua y cuidado de áreas verdes en la zona urbana</t>
  </si>
  <si>
    <t>Proyecto de mejoramiento y ampliación de la infraestructura de agua potable (captaciones, reservorios y planta de tratamiento)</t>
  </si>
  <si>
    <t xml:space="preserve">Plan de inversión para la implementación y mejoramiento de la infraestructura vial </t>
  </si>
  <si>
    <t>Propuesta para la promoción de Eventos y Ferias locales para el comercio de productos agropecuarios y artesanales locales.</t>
  </si>
  <si>
    <t xml:space="preserve">El Plan Nacional de Electrificación rural (20150-2025). </t>
  </si>
  <si>
    <t>Política Energética Provincial (2010-2020) para el desarrollo de energías limpias.</t>
  </si>
  <si>
    <t>Plan de prevención de riesgos agro meteorológicos y mitigación de sequías al 2030</t>
  </si>
  <si>
    <t>Proyecto de energía fotovoltaica (paneles solares) con familias rurales.</t>
  </si>
  <si>
    <t>Estudio de balance hídrico e impactos del cambio climático en el sector agrícola.</t>
  </si>
  <si>
    <t>Plan Estratégico para el fortalecimiento de cadenas productivas y el desarrollo socioeconómico de los productores a nivel local.</t>
  </si>
  <si>
    <t>Programa de promoción de créditos rurales para la producción agrícola y ganadera.</t>
  </si>
  <si>
    <t>Estudio de escenarios climáticos a escala provincial al 2025</t>
  </si>
  <si>
    <t>Proyecto para la instalación de sistemas agroforestales</t>
  </si>
  <si>
    <t xml:space="preserve">Estudio de plan tarifario de la Empresa de Agua Potable </t>
  </si>
  <si>
    <t>Conformación del Comité Técnico Gubernamental de protección del páramo y fuentes hídricas.</t>
  </si>
  <si>
    <t>Proyecto de mejoramiento de la producción agropecuaria.</t>
  </si>
  <si>
    <t>Expediente técnico de la instalación de estaciones de monitoreo hidrológico en la Cuenca.</t>
  </si>
  <si>
    <t xml:space="preserve">Proyecto para la mejora de la eficiencia del uso de biomasa en hogares rurales. </t>
  </si>
  <si>
    <t>Plan Nacional de Adaptación al Cambio Climático (2019-2025).</t>
  </si>
  <si>
    <t>Propuesta de Ordenamiento Territorial.</t>
  </si>
  <si>
    <t xml:space="preserve">Proyecto de inversión pública para la recuperación de suelos y regulación hídrica  </t>
  </si>
  <si>
    <t>Programa de capacitación en buenas prácticas agrícolas.</t>
  </si>
  <si>
    <t xml:space="preserve">Acuerdo multisectorial para la vigilancia local del bosque. </t>
  </si>
  <si>
    <t>Estudio de la delimitación y protección de fajas marginales.</t>
  </si>
  <si>
    <t>Capacidad de aprendizaje</t>
  </si>
  <si>
    <t>Capacidad para responder</t>
  </si>
  <si>
    <t>Capacidad para aprender</t>
  </si>
  <si>
    <t>Capacidad para anticipar o prevenir</t>
  </si>
  <si>
    <t>Existencia de sistemas de monitoreo operacionales</t>
  </si>
  <si>
    <t>Existencia de datos e información para la gestión integrada</t>
  </si>
  <si>
    <t>Efectividad de los mecanismos de coordinación y comunicación</t>
  </si>
  <si>
    <t>Participación eficiente</t>
  </si>
  <si>
    <t>Formación de alianzas y plataformas de gestión integrada</t>
  </si>
  <si>
    <t>Presupuesto e incentivos para reducir el riesgo</t>
  </si>
  <si>
    <t>Simulacros de preparación para emergencias</t>
  </si>
  <si>
    <t>Protección de ecosistemas y barreras naturales para mitigar impactos</t>
  </si>
  <si>
    <t>Disponibilidad de recursos financieros para cubrir gastos</t>
  </si>
  <si>
    <t>Procesos de aprendizaje institucional</t>
  </si>
  <si>
    <t>Programas educativos y de capacitación</t>
  </si>
  <si>
    <t>Sistemas activos de gestión adaptativa</t>
  </si>
  <si>
    <t>Acuerdos y protocolos de intercambio de información</t>
  </si>
  <si>
    <t>Disponibilidad de información actualizada sobre peligros y vulnerabilidad eminentes</t>
  </si>
  <si>
    <t>Sistemas de alerta temprana</t>
  </si>
  <si>
    <t>Existencia de mecanismos de planificación concertados</t>
  </si>
  <si>
    <t>Total</t>
  </si>
  <si>
    <t>Todos a excepción de ONG y Asociación de productores</t>
  </si>
  <si>
    <t>Todos a excepción de la cooperación técnica internacional.</t>
  </si>
  <si>
    <t>Todos excepto Instituto Nacional de Meteorología e Hidrología, Cooperación técnica, Universidad cientítifica y Empresa de Agua Potable.</t>
  </si>
  <si>
    <t>Todas carecen de esta capacidad a excepción de: Secretaria Nacional del Agua, Consejo de cuenca, ONG, Juntas de Riego, y Asociaciones de productores.</t>
  </si>
  <si>
    <t>Todas carecen de esta capacidad, a excepción de: los ministerios presentes, empresa de agua potable, Juntas de riego, Cooperación técnica, ONG, Secretaria Nacional del Agua y Consejo de cuenca.</t>
  </si>
  <si>
    <t>Todas carecen de esta capacidad, a excepción de Empresa eléctrica local y Cooperación técnica.</t>
  </si>
  <si>
    <t>Instituto Nacional de Meteorología e Hidrología</t>
  </si>
  <si>
    <t>Todas carecen de esta capacidad, a excepción de ONG y Juntas de Riego.</t>
  </si>
  <si>
    <t>Las únicas organizaciones que tienen esta capacidad son: Empresa de agua potable, Central Hidroeléctrica, Juntas de riego, ONG, Empresa eléctrica local.</t>
  </si>
  <si>
    <t>Las organizaciones que carecen de esta capacidad son: todos los gobiernos locales, ONG, Universidad, Juntas de Riego, Instituto Nacional de Meteorología e Hidrología y Asociaciones de productores.</t>
  </si>
  <si>
    <t>Las organizaciones que carecen de esta capacidad son: Asociaciones de productores, Secretaria Nacional del Agua, Consejo de Cuenca, y Gobierno Locales.</t>
  </si>
  <si>
    <t>Todas las organizaciones tienen esta capacidad, excepto la Empresa eléctrica local y la Central hidroeléctrica.</t>
  </si>
  <si>
    <t>Las organizaciones que carecen de esta capacidad son: Gobiernos locales, Juntas de riego, ONG, Instituto Nacional de Meteorología e Hidrología, Secretaria Nacional del Agua, Consejo de Cuenca.</t>
  </si>
  <si>
    <t>Las organizaciones que carecen de esta capacidad, son: Gobierno Locales, Central hidroeléctrica, Asociaciones de productores, Cooperación técnica, Empresa eléctrica local.</t>
  </si>
  <si>
    <t>Las organizaciones que presentan esta capacidad son: Ministerios, Empresa de agua potable, Universidad, Instituto Nacional de Meteorología e Hidrología, Secretaria Nacional del Agua, Consejo de cuenca, y ONG.</t>
  </si>
  <si>
    <t>Todas carecen de esta capacidad</t>
  </si>
  <si>
    <t>Las organizaciones que presentan esta capacidad, son: Gobierno locales, Empresa de agua potable, Asociaciones de productores, Juntas de riego, ONG, Secretaria Nacional del Agua y Consejo de Cuenca.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</si>
</sst>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0.0"/>
  </numFmts>
  <fonts count="19">
    <font>
      <sz val="11.0"/>
      <color theme="1"/>
      <name val="Arial"/>
    </font>
    <font>
      <b/>
      <sz val="11.0"/>
      <color theme="1"/>
      <name val="Calibri"/>
    </font>
    <font>
      <sz val="11.0"/>
      <color theme="1"/>
      <name val="Calibri"/>
    </font>
    <font/>
    <font>
      <color theme="1"/>
      <name val="Calibri"/>
    </font>
    <font>
      <b/>
      <sz val="11.0"/>
      <color rgb="FF000000"/>
      <name val="Calibri"/>
    </font>
    <font>
      <color rgb="FF000000"/>
      <name val="Calibri"/>
    </font>
    <font>
      <i/>
      <sz val="11.0"/>
      <color rgb="FF000000"/>
      <name val="Calibri"/>
    </font>
    <font>
      <b/>
      <sz val="20.0"/>
      <color rgb="FF000000"/>
      <name val="Calibri"/>
    </font>
    <font>
      <i/>
      <sz val="11.0"/>
      <color theme="1"/>
      <name val="Calibri"/>
    </font>
    <font>
      <b/>
      <sz val="20.0"/>
      <color rgb="FF002060"/>
      <name val="Calibri"/>
    </font>
    <font>
      <b/>
      <sz val="20.0"/>
      <color rgb="FF385623"/>
      <name val="Calibri"/>
    </font>
    <font>
      <b/>
      <sz val="20.0"/>
      <color rgb="FFC00000"/>
      <name val="Calibri"/>
    </font>
    <font>
      <sz val="11.0"/>
      <color rgb="FFFF0000"/>
      <name val="Calibri"/>
    </font>
    <font>
      <u/>
      <sz val="11.0"/>
      <color theme="1"/>
    </font>
    <font>
      <u/>
      <sz val="11.0"/>
      <color theme="10"/>
    </font>
    <font>
      <b/>
      <sz val="12.0"/>
      <color theme="1"/>
      <name val="Calibri"/>
    </font>
    <font>
      <b/>
      <i/>
      <sz val="11.0"/>
      <color theme="1"/>
      <name val="Calibri"/>
    </font>
    <font>
      <b/>
      <sz val="14.0"/>
      <color theme="1"/>
      <name val="Calibri"/>
    </font>
  </fonts>
  <fills count="16">
    <fill>
      <patternFill patternType="none"/>
    </fill>
    <fill>
      <patternFill patternType="lightGray"/>
    </fill>
    <fill>
      <patternFill patternType="solid">
        <fgColor rgb="FFFFFF00"/>
        <bgColor rgb="FFFFFF00"/>
      </patternFill>
    </fill>
    <fill>
      <patternFill patternType="solid">
        <fgColor theme="4"/>
        <bgColor theme="4"/>
      </patternFill>
    </fill>
    <fill>
      <patternFill patternType="solid">
        <fgColor rgb="FF6AA84F"/>
        <bgColor rgb="FF6AA84F"/>
      </patternFill>
    </fill>
    <fill>
      <patternFill patternType="solid">
        <fgColor theme="7"/>
        <bgColor theme="7"/>
      </patternFill>
    </fill>
    <fill>
      <patternFill patternType="solid">
        <fgColor theme="8"/>
        <bgColor theme="8"/>
      </patternFill>
    </fill>
    <fill>
      <patternFill patternType="solid">
        <fgColor theme="9"/>
        <bgColor theme="9"/>
      </patternFill>
    </fill>
    <fill>
      <patternFill patternType="solid">
        <fgColor rgb="FFFF9900"/>
        <bgColor rgb="FFFF9900"/>
      </patternFill>
    </fill>
    <fill>
      <patternFill patternType="solid">
        <fgColor rgb="FF4A86E8"/>
        <bgColor rgb="FF4A86E8"/>
      </patternFill>
    </fill>
    <fill>
      <patternFill patternType="solid">
        <fgColor rgb="FFFFC000"/>
        <bgColor rgb="FFFFC000"/>
      </patternFill>
    </fill>
    <fill>
      <patternFill patternType="solid">
        <fgColor rgb="FFE2EFD9"/>
        <bgColor rgb="FFE2EFD9"/>
      </patternFill>
    </fill>
    <fill>
      <patternFill patternType="solid">
        <fgColor rgb="FFFEF2CB"/>
        <bgColor rgb="FFFEF2CB"/>
      </patternFill>
    </fill>
    <fill>
      <patternFill patternType="solid">
        <fgColor rgb="FFD9E2F3"/>
        <bgColor rgb="FFD9E2F3"/>
      </patternFill>
    </fill>
    <fill>
      <patternFill patternType="solid">
        <fgColor rgb="FFFBE4D5"/>
        <bgColor rgb="FFFBE4D5"/>
      </patternFill>
    </fill>
    <fill>
      <patternFill patternType="solid">
        <fgColor rgb="FFD0CECE"/>
        <bgColor rgb="FFD0CECE"/>
      </patternFill>
    </fill>
  </fills>
  <borders count="2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color rgb="FF000000"/>
      </left>
    </border>
    <border>
      <left style="thin">
        <color rgb="FF000000"/>
      </left>
      <top style="thin">
        <color rgb="FF000000"/>
      </top>
      <bottom style="thin">
        <color rgb="FF000000"/>
      </bottom>
    </border>
    <border>
      <left style="medium">
        <color rgb="FF000000"/>
      </left>
      <right style="medium">
        <color rgb="FF000000"/>
      </right>
      <top style="medium">
        <color rgb="FF000000"/>
      </top>
      <bottom style="medium">
        <color rgb="FF000000"/>
      </bottom>
    </border>
    <border>
      <right style="thin">
        <color rgb="FF000000"/>
      </right>
      <top style="thin">
        <color rgb="FF000000"/>
      </top>
      <bottom style="thin">
        <color rgb="FF000000"/>
      </bottom>
    </border>
    <border>
      <left style="medium">
        <color rgb="FF000000"/>
      </left>
      <right style="medium">
        <color rgb="FF000000"/>
      </right>
      <bottom style="medium">
        <color rgb="FF000000"/>
      </bottom>
    </border>
    <border>
      <right style="thin">
        <color rgb="FF000000"/>
      </right>
    </border>
    <border>
      <top style="thin">
        <color rgb="FF000000"/>
      </top>
      <bottom style="thin">
        <color rgb="FF000000"/>
      </bottom>
    </border>
    <border>
      <bottom style="thin">
        <color rgb="FF000000"/>
      </bottom>
    </border>
    <border>
      <left style="thin">
        <color rgb="FF000000"/>
      </left>
      <top style="thin">
        <color rgb="FF000000"/>
      </top>
    </border>
    <border>
      <right style="thin">
        <color rgb="FF000000"/>
      </right>
      <top style="thin">
        <color rgb="FF000000"/>
      </top>
    </border>
    <border>
      <left/>
      <right/>
      <top/>
      <bottom/>
    </border>
    <border>
      <left/>
      <right style="thin">
        <color rgb="FF000000"/>
      </right>
      <top/>
      <bottom/>
    </border>
    <border>
      <left style="thin">
        <color rgb="FF000000"/>
      </left>
      <bottom style="thin">
        <color rgb="FF000000"/>
      </bottom>
    </border>
    <border>
      <left/>
      <right/>
      <top/>
      <bottom style="thin">
        <color rgb="FF000000"/>
      </bottom>
    </border>
    <border>
      <right style="thin">
        <color rgb="FF000000"/>
      </right>
      <bottom style="thin">
        <color rgb="FF000000"/>
      </bottom>
    </border>
    <border>
      <left style="medium">
        <color rgb="FF000000"/>
      </left>
      <right style="medium">
        <color rgb="FF000000"/>
      </right>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137">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2" fillId="0" fontId="2" numFmtId="0" xfId="0" applyAlignment="1" applyBorder="1" applyFont="1">
      <alignment horizontal="center" shrinkToFit="0" vertical="center" wrapText="1"/>
    </xf>
    <xf borderId="1" fillId="0"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4" fillId="0" fontId="2" numFmtId="0" xfId="0" applyAlignment="1" applyBorder="1" applyFont="1">
      <alignment horizontal="center" shrinkToFit="0" vertical="center" wrapText="1"/>
    </xf>
    <xf borderId="3" fillId="0" fontId="2" numFmtId="0" xfId="0" applyAlignment="1" applyBorder="1" applyFont="1">
      <alignment horizontal="center" shrinkToFit="0" vertical="center" wrapText="1"/>
    </xf>
    <xf borderId="5" fillId="2" fontId="2" numFmtId="0" xfId="0" applyAlignment="1" applyBorder="1" applyFill="1" applyFont="1">
      <alignment horizontal="center" shrinkToFit="0" vertical="center" wrapText="1"/>
    </xf>
    <xf borderId="6" fillId="2" fontId="2" numFmtId="0" xfId="0" applyAlignment="1" applyBorder="1" applyFont="1">
      <alignment horizontal="center" shrinkToFit="0" vertical="center" wrapText="1"/>
    </xf>
    <xf borderId="0" fillId="0" fontId="4" numFmtId="0" xfId="0" applyFont="1"/>
    <xf borderId="1" fillId="0" fontId="5" numFmtId="0" xfId="0" applyAlignment="1" applyBorder="1" applyFont="1">
      <alignment horizontal="center" shrinkToFit="0" vertical="center" wrapText="1"/>
    </xf>
    <xf borderId="7" fillId="0" fontId="5" numFmtId="0" xfId="0" applyAlignment="1" applyBorder="1" applyFont="1">
      <alignment horizontal="center"/>
    </xf>
    <xf borderId="0" fillId="0" fontId="6" numFmtId="0" xfId="0" applyFont="1"/>
    <xf borderId="8" fillId="0" fontId="5" numFmtId="0" xfId="0" applyAlignment="1" applyBorder="1" applyFont="1">
      <alignment horizontal="center" shrinkToFit="0" vertical="center" wrapText="1"/>
    </xf>
    <xf borderId="8" fillId="0" fontId="5" numFmtId="0" xfId="0" applyAlignment="1" applyBorder="1" applyFont="1">
      <alignment horizontal="center"/>
    </xf>
    <xf borderId="9" fillId="0" fontId="5" numFmtId="0" xfId="0" applyAlignment="1" applyBorder="1" applyFont="1">
      <alignment horizontal="center"/>
    </xf>
    <xf borderId="10" fillId="0" fontId="5" numFmtId="0" xfId="0" applyAlignment="1" applyBorder="1" applyFont="1">
      <alignment horizontal="center"/>
    </xf>
    <xf borderId="7" fillId="0" fontId="7" numFmtId="0" xfId="0" applyAlignment="1" applyBorder="1" applyFont="1">
      <alignment horizontal="center" shrinkToFit="0" vertical="center" wrapText="1"/>
    </xf>
    <xf borderId="11" fillId="3" fontId="8" numFmtId="0" xfId="0" applyAlignment="1" applyBorder="1" applyFill="1" applyFont="1">
      <alignment horizontal="center" vertical="center"/>
    </xf>
    <xf borderId="12" fillId="0" fontId="7" numFmtId="0" xfId="0" applyAlignment="1" applyBorder="1" applyFont="1">
      <alignment horizontal="center" shrinkToFit="0" vertical="center" wrapText="1"/>
    </xf>
    <xf borderId="9" fillId="4" fontId="8" numFmtId="0" xfId="0" applyAlignment="1" applyBorder="1" applyFill="1" applyFont="1">
      <alignment horizontal="center" vertical="center"/>
    </xf>
    <xf borderId="0" fillId="0" fontId="7" numFmtId="0" xfId="0" applyAlignment="1" applyFont="1">
      <alignment horizontal="center" shrinkToFit="0" vertical="center" wrapText="1"/>
    </xf>
    <xf borderId="9" fillId="5" fontId="8" numFmtId="0" xfId="0" applyAlignment="1" applyBorder="1" applyFill="1" applyFont="1">
      <alignment horizontal="center" vertical="center"/>
    </xf>
    <xf borderId="13" fillId="0" fontId="5" numFmtId="0" xfId="0" applyAlignment="1" applyBorder="1" applyFont="1">
      <alignment horizontal="center"/>
    </xf>
    <xf borderId="8" fillId="0" fontId="1" numFmtId="0" xfId="0" applyAlignment="1" applyBorder="1" applyFont="1">
      <alignment horizontal="center"/>
    </xf>
    <xf borderId="13" fillId="0" fontId="3" numFmtId="0" xfId="0" applyBorder="1" applyFont="1"/>
    <xf borderId="10" fillId="0" fontId="3" numFmtId="0" xfId="0" applyBorder="1" applyFont="1"/>
    <xf borderId="2" fillId="0" fontId="1" numFmtId="0" xfId="0" applyAlignment="1" applyBorder="1" applyFont="1">
      <alignment horizontal="center" shrinkToFit="0" vertical="center" wrapText="1"/>
    </xf>
    <xf borderId="0" fillId="0" fontId="9" numFmtId="0" xfId="0" applyAlignment="1" applyFont="1">
      <alignment horizontal="center" shrinkToFit="0" vertical="center" wrapText="1"/>
    </xf>
    <xf borderId="9" fillId="6" fontId="10" numFmtId="0" xfId="0" applyAlignment="1" applyBorder="1" applyFill="1" applyFont="1">
      <alignment horizontal="center" vertical="center"/>
    </xf>
    <xf borderId="12" fillId="0" fontId="9" numFmtId="0" xfId="0" applyAlignment="1" applyBorder="1" applyFont="1">
      <alignment horizontal="center" shrinkToFit="0" vertical="center" wrapText="1"/>
    </xf>
    <xf borderId="9" fillId="7" fontId="11" numFmtId="0" xfId="0" applyAlignment="1" applyBorder="1" applyFill="1" applyFont="1">
      <alignment horizontal="center" vertical="center"/>
    </xf>
    <xf borderId="14" fillId="0" fontId="9" numFmtId="0" xfId="0" applyAlignment="1" applyBorder="1" applyFont="1">
      <alignment horizontal="center" shrinkToFit="0" vertical="center" wrapText="1"/>
    </xf>
    <xf borderId="9" fillId="8" fontId="12" numFmtId="0" xfId="0" applyAlignment="1" applyBorder="1" applyFill="1" applyFont="1">
      <alignment horizontal="center" vertical="center"/>
    </xf>
    <xf borderId="0" fillId="0" fontId="2" numFmtId="0" xfId="0" applyAlignment="1" applyFont="1">
      <alignment horizontal="center" vertical="center"/>
    </xf>
    <xf borderId="15" fillId="0" fontId="9" numFmtId="0" xfId="0" applyAlignment="1" applyBorder="1" applyFont="1">
      <alignment horizontal="center" shrinkToFit="0" vertical="center" wrapText="1"/>
    </xf>
    <xf borderId="16" fillId="0" fontId="9" numFmtId="0" xfId="0" applyAlignment="1" applyBorder="1" applyFont="1">
      <alignment horizontal="center" shrinkToFit="0" vertical="center" wrapText="1"/>
    </xf>
    <xf borderId="9" fillId="9" fontId="10" numFmtId="0" xfId="0" applyAlignment="1" applyBorder="1" applyFill="1" applyFont="1">
      <alignment horizontal="center" vertical="center"/>
    </xf>
    <xf borderId="1" fillId="0" fontId="1" numFmtId="0" xfId="0" applyBorder="1" applyFont="1"/>
    <xf borderId="7" fillId="0" fontId="1" numFmtId="0" xfId="0" applyBorder="1" applyFont="1"/>
    <xf borderId="0" fillId="0" fontId="1" numFmtId="0" xfId="0" applyFont="1"/>
    <xf borderId="1" fillId="0" fontId="2" numFmtId="0" xfId="0" applyBorder="1" applyFont="1"/>
    <xf borderId="1" fillId="2" fontId="2" numFmtId="0" xfId="0" applyBorder="1" applyFont="1"/>
    <xf borderId="0" fillId="0" fontId="4" numFmtId="0" xfId="0" applyFont="1"/>
    <xf borderId="1" fillId="0" fontId="1" numFmtId="2" xfId="0" applyAlignment="1" applyBorder="1" applyFont="1" applyNumberFormat="1">
      <alignment horizontal="center"/>
    </xf>
    <xf borderId="1" fillId="0" fontId="1" numFmtId="2" xfId="0" applyBorder="1" applyFont="1" applyNumberFormat="1"/>
    <xf borderId="12" fillId="0" fontId="2" numFmtId="0" xfId="0" applyBorder="1" applyFont="1"/>
    <xf borderId="1" fillId="0" fontId="2" numFmtId="0" xfId="0" applyAlignment="1" applyBorder="1" applyFont="1">
      <alignment horizontal="center" vertical="center"/>
    </xf>
    <xf borderId="1" fillId="0" fontId="2" numFmtId="2" xfId="0" applyAlignment="1" applyBorder="1" applyFont="1" applyNumberFormat="1">
      <alignment horizontal="center" vertical="center"/>
    </xf>
    <xf borderId="1" fillId="2" fontId="13" numFmtId="0" xfId="0" applyBorder="1" applyFont="1"/>
    <xf borderId="1" fillId="0" fontId="13" numFmtId="0" xfId="0" applyBorder="1" applyFont="1"/>
    <xf borderId="7" fillId="0" fontId="2" numFmtId="0" xfId="0" applyBorder="1" applyFont="1"/>
    <xf borderId="0" fillId="0" fontId="2" numFmtId="0" xfId="0" applyFont="1"/>
    <xf borderId="12" fillId="0" fontId="2" numFmtId="2" xfId="0" applyBorder="1" applyFont="1" applyNumberFormat="1"/>
    <xf borderId="0" fillId="0" fontId="2" numFmtId="2" xfId="0" applyFont="1" applyNumberFormat="1"/>
    <xf borderId="1" fillId="0" fontId="2" numFmtId="1" xfId="0" applyAlignment="1" applyBorder="1" applyFont="1" applyNumberFormat="1">
      <alignment horizontal="center" vertical="center"/>
    </xf>
    <xf borderId="17" fillId="2" fontId="2" numFmtId="0" xfId="0" applyBorder="1" applyFont="1"/>
    <xf borderId="0" fillId="0" fontId="2" numFmtId="2" xfId="0" applyAlignment="1" applyFont="1" applyNumberFormat="1">
      <alignment horizontal="center"/>
    </xf>
    <xf borderId="18" fillId="2" fontId="2" numFmtId="2" xfId="0" applyBorder="1" applyFont="1" applyNumberFormat="1"/>
    <xf borderId="1" fillId="0" fontId="2" numFmtId="2" xfId="0" applyBorder="1" applyFont="1" applyNumberFormat="1"/>
    <xf borderId="0" fillId="0" fontId="13" numFmtId="0" xfId="0" applyFont="1"/>
    <xf borderId="19" fillId="0" fontId="2" numFmtId="0" xfId="0" applyBorder="1" applyFont="1"/>
    <xf borderId="20" fillId="2" fontId="2" numFmtId="0" xfId="0" applyBorder="1" applyFont="1"/>
    <xf borderId="14" fillId="0" fontId="2" numFmtId="0" xfId="0" applyBorder="1" applyFont="1"/>
    <xf borderId="21" fillId="0" fontId="2" numFmtId="2" xfId="0" applyBorder="1" applyFont="1" applyNumberFormat="1"/>
    <xf borderId="1" fillId="0" fontId="1" numFmtId="0" xfId="0" applyAlignment="1" applyBorder="1" applyFont="1">
      <alignment horizontal="center"/>
    </xf>
    <xf borderId="1" fillId="0" fontId="2" numFmtId="0" xfId="0" applyAlignment="1" applyBorder="1" applyFont="1">
      <alignment horizontal="center"/>
    </xf>
    <xf borderId="1" fillId="0" fontId="14" numFmtId="0" xfId="0" applyAlignment="1" applyBorder="1" applyFont="1">
      <alignment horizontal="center"/>
    </xf>
    <xf borderId="1" fillId="0" fontId="2" numFmtId="164" xfId="0" applyAlignment="1" applyBorder="1" applyFont="1" applyNumberFormat="1">
      <alignment horizontal="center"/>
    </xf>
    <xf borderId="1" fillId="0" fontId="15" numFmtId="0" xfId="0" applyAlignment="1" applyBorder="1" applyFont="1">
      <alignment horizontal="center"/>
    </xf>
    <xf borderId="0" fillId="0" fontId="2" numFmtId="0" xfId="0" applyAlignment="1" applyFont="1">
      <alignment horizontal="center"/>
    </xf>
    <xf borderId="0" fillId="0" fontId="2" numFmtId="164" xfId="0" applyFont="1" applyNumberFormat="1"/>
    <xf borderId="1" fillId="0" fontId="2" numFmtId="1" xfId="0" applyAlignment="1" applyBorder="1" applyFont="1" applyNumberFormat="1">
      <alignment horizontal="center" shrinkToFit="0" vertical="center" wrapText="1"/>
    </xf>
    <xf borderId="1" fillId="2" fontId="2" numFmtId="9" xfId="0" applyAlignment="1" applyBorder="1" applyFont="1" applyNumberFormat="1">
      <alignment horizontal="center" vertical="center"/>
    </xf>
    <xf borderId="1" fillId="2" fontId="2" numFmtId="0" xfId="0" applyAlignment="1" applyBorder="1" applyFont="1">
      <alignment horizontal="center" shrinkToFit="0" vertical="center" wrapText="1"/>
    </xf>
    <xf borderId="1" fillId="0" fontId="2" numFmtId="10" xfId="0" applyAlignment="1" applyBorder="1" applyFont="1" applyNumberFormat="1">
      <alignment horizontal="center" vertical="center"/>
    </xf>
    <xf borderId="1" fillId="2" fontId="2" numFmtId="10" xfId="0" applyAlignment="1" applyBorder="1" applyFont="1" applyNumberFormat="1">
      <alignment horizontal="center" vertical="center"/>
    </xf>
    <xf borderId="1" fillId="2" fontId="2" numFmtId="0" xfId="0" applyAlignment="1" applyBorder="1" applyFont="1">
      <alignment horizontal="center" vertical="center"/>
    </xf>
    <xf borderId="1" fillId="0" fontId="2" numFmtId="9" xfId="0" applyAlignment="1" applyBorder="1" applyFont="1" applyNumberFormat="1">
      <alignment horizontal="center" vertical="center"/>
    </xf>
    <xf borderId="1" fillId="0" fontId="13" numFmtId="2" xfId="0" applyBorder="1" applyFont="1" applyNumberFormat="1"/>
    <xf borderId="0" fillId="0" fontId="16" numFmtId="0" xfId="0" applyAlignment="1" applyFont="1">
      <alignment horizontal="center" vertical="center"/>
    </xf>
    <xf borderId="8" fillId="0" fontId="1" numFmtId="0" xfId="0" applyAlignment="1" applyBorder="1" applyFont="1">
      <alignment horizontal="center" vertical="center"/>
    </xf>
    <xf borderId="1" fillId="0" fontId="1" numFmtId="0" xfId="0" applyAlignment="1" applyBorder="1" applyFont="1">
      <alignment vertical="center"/>
    </xf>
    <xf borderId="1" fillId="0" fontId="1" numFmtId="0" xfId="0" applyAlignment="1" applyBorder="1" applyFont="1">
      <alignment shrinkToFit="0" vertical="center" wrapText="1"/>
    </xf>
    <xf borderId="1" fillId="0" fontId="17"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0" fillId="0" fontId="2" numFmtId="0" xfId="0" applyAlignment="1" applyBorder="1" applyFont="1">
      <alignment horizontal="center" shrinkToFit="0" vertical="center" wrapText="1"/>
    </xf>
    <xf borderId="1" fillId="0" fontId="2" numFmtId="9" xfId="0" applyAlignment="1" applyBorder="1" applyFont="1" applyNumberFormat="1">
      <alignment horizontal="center" shrinkToFit="0" vertical="center" wrapText="1"/>
    </xf>
    <xf borderId="1" fillId="0" fontId="2" numFmtId="2" xfId="0" applyAlignment="1" applyBorder="1" applyFont="1" applyNumberFormat="1">
      <alignment horizontal="center"/>
    </xf>
    <xf borderId="1" fillId="10" fontId="2" numFmtId="0" xfId="0" applyBorder="1" applyFill="1" applyFont="1"/>
    <xf borderId="1" fillId="10" fontId="13" numFmtId="0" xfId="0" applyBorder="1" applyFont="1"/>
    <xf borderId="9" fillId="0" fontId="2" numFmtId="0" xfId="0" applyBorder="1" applyFont="1"/>
    <xf borderId="1" fillId="0" fontId="2" numFmtId="1" xfId="0" applyAlignment="1" applyBorder="1" applyFont="1" applyNumberFormat="1">
      <alignment horizontal="center"/>
    </xf>
    <xf borderId="11" fillId="0" fontId="2" numFmtId="0" xfId="0" applyBorder="1" applyFont="1"/>
    <xf borderId="2" fillId="0" fontId="2" numFmtId="0" xfId="0" applyBorder="1" applyFont="1"/>
    <xf borderId="9" fillId="10" fontId="2" numFmtId="0" xfId="0" applyBorder="1" applyFont="1"/>
    <xf borderId="4" fillId="0" fontId="2" numFmtId="0" xfId="0" applyBorder="1" applyFont="1"/>
    <xf borderId="2" fillId="0" fontId="1" numFmtId="0" xfId="0" applyBorder="1" applyFont="1"/>
    <xf borderId="8" fillId="0" fontId="2" numFmtId="2" xfId="0" applyBorder="1" applyFont="1" applyNumberFormat="1"/>
    <xf borderId="9" fillId="10" fontId="2" numFmtId="2" xfId="0" applyBorder="1" applyFont="1" applyNumberFormat="1"/>
    <xf borderId="9" fillId="0" fontId="13" numFmtId="0" xfId="0" applyBorder="1" applyFont="1"/>
    <xf borderId="12" fillId="0" fontId="13" numFmtId="2" xfId="0" applyBorder="1" applyFont="1" applyNumberFormat="1"/>
    <xf borderId="22" fillId="10" fontId="2" numFmtId="0" xfId="0" applyBorder="1" applyFont="1"/>
    <xf borderId="0" fillId="0" fontId="2" numFmtId="0" xfId="0" applyAlignment="1" applyFont="1">
      <alignment horizontal="center" shrinkToFit="0" vertical="center" wrapText="1"/>
    </xf>
    <xf borderId="23" fillId="11" fontId="1" numFmtId="0" xfId="0" applyAlignment="1" applyBorder="1" applyFill="1" applyFont="1">
      <alignment horizontal="center"/>
    </xf>
    <xf borderId="24" fillId="0" fontId="3" numFmtId="0" xfId="0" applyBorder="1" applyFont="1"/>
    <xf borderId="25" fillId="0" fontId="3" numFmtId="0" xfId="0" applyBorder="1" applyFont="1"/>
    <xf borderId="8" fillId="12" fontId="1" numFmtId="0" xfId="0" applyAlignment="1" applyBorder="1" applyFill="1" applyFont="1">
      <alignment horizontal="center"/>
    </xf>
    <xf borderId="8" fillId="13" fontId="1" numFmtId="0" xfId="0" applyAlignment="1" applyBorder="1" applyFill="1" applyFont="1">
      <alignment horizontal="center"/>
    </xf>
    <xf borderId="8" fillId="14" fontId="1" numFmtId="0" xfId="0" applyAlignment="1" applyBorder="1" applyFill="1" applyFont="1">
      <alignment horizontal="center"/>
    </xf>
    <xf borderId="1" fillId="15" fontId="2" numFmtId="0" xfId="0" applyBorder="1" applyFill="1" applyFont="1"/>
    <xf borderId="8" fillId="0" fontId="1" numFmtId="0" xfId="0" applyAlignment="1" applyBorder="1" applyFont="1">
      <alignment horizontal="center" shrinkToFit="0" vertical="center" wrapText="1"/>
    </xf>
    <xf borderId="1" fillId="11" fontId="1" numFmtId="0" xfId="0" applyAlignment="1" applyBorder="1" applyFont="1">
      <alignment horizontal="center" shrinkToFit="0" vertical="center" wrapText="1"/>
    </xf>
    <xf borderId="1" fillId="12" fontId="1" numFmtId="0" xfId="0" applyAlignment="1" applyBorder="1" applyFont="1">
      <alignment horizontal="center" shrinkToFit="0" vertical="center" wrapText="1"/>
    </xf>
    <xf borderId="1" fillId="13" fontId="1" numFmtId="0" xfId="0" applyAlignment="1" applyBorder="1" applyFont="1">
      <alignment horizontal="center" shrinkToFit="0" vertical="center" wrapText="1"/>
    </xf>
    <xf borderId="1" fillId="14" fontId="1" numFmtId="0" xfId="0" applyAlignment="1" applyBorder="1" applyFont="1">
      <alignment horizontal="center" shrinkToFit="0" vertical="center" wrapText="1"/>
    </xf>
    <xf borderId="1" fillId="15" fontId="1" numFmtId="0" xfId="0" applyAlignment="1" applyBorder="1" applyFont="1">
      <alignment horizontal="center" shrinkToFit="0" vertical="center" wrapText="1"/>
    </xf>
    <xf borderId="8" fillId="11" fontId="18" numFmtId="0" xfId="0" applyAlignment="1" applyBorder="1" applyFont="1">
      <alignment horizontal="center" vertical="center"/>
    </xf>
    <xf borderId="15" fillId="0" fontId="2" numFmtId="0" xfId="0" applyAlignment="1" applyBorder="1" applyFont="1">
      <alignment horizontal="center" shrinkToFit="0" vertical="center" wrapText="1"/>
    </xf>
    <xf borderId="1" fillId="11" fontId="2" numFmtId="0" xfId="0" applyAlignment="1" applyBorder="1" applyFont="1">
      <alignment horizontal="center" vertical="center"/>
    </xf>
    <xf borderId="1" fillId="12" fontId="2" numFmtId="0" xfId="0" applyAlignment="1" applyBorder="1" applyFont="1">
      <alignment horizontal="center" vertical="center"/>
    </xf>
    <xf borderId="1" fillId="13" fontId="2" numFmtId="0" xfId="0" applyAlignment="1" applyBorder="1" applyFont="1">
      <alignment horizontal="center" vertical="center"/>
    </xf>
    <xf borderId="1" fillId="14" fontId="2" numFmtId="0" xfId="0" applyAlignment="1" applyBorder="1" applyFont="1">
      <alignment horizontal="center" vertical="center"/>
    </xf>
    <xf borderId="1" fillId="15" fontId="2" numFmtId="0" xfId="0" applyAlignment="1" applyBorder="1" applyFont="1">
      <alignment horizontal="center" vertical="center"/>
    </xf>
    <xf borderId="1" fillId="0" fontId="2" numFmtId="0" xfId="0" applyAlignment="1" applyBorder="1" applyFont="1">
      <alignment vertical="center"/>
    </xf>
    <xf borderId="7" fillId="0" fontId="3" numFmtId="0" xfId="0" applyBorder="1" applyFont="1"/>
    <xf borderId="8" fillId="12" fontId="18" numFmtId="0" xfId="0" applyAlignment="1" applyBorder="1" applyFont="1">
      <alignment horizontal="center" vertical="center"/>
    </xf>
    <xf borderId="19" fillId="0" fontId="3" numFmtId="0" xfId="0" applyBorder="1" applyFont="1"/>
    <xf borderId="8" fillId="0" fontId="2" numFmtId="0" xfId="0" applyAlignment="1" applyBorder="1" applyFont="1">
      <alignment horizontal="center" shrinkToFit="0" vertical="center" wrapText="1"/>
    </xf>
    <xf borderId="8" fillId="13" fontId="18" numFmtId="0" xfId="0" applyAlignment="1" applyBorder="1" applyFont="1">
      <alignment horizontal="center" vertical="center"/>
    </xf>
    <xf borderId="3" fillId="0" fontId="1" numFmtId="0" xfId="0" applyAlignment="1" applyBorder="1" applyFont="1">
      <alignment horizontal="center" shrinkToFit="0" vertical="center" wrapText="1"/>
    </xf>
    <xf borderId="8" fillId="14" fontId="18" numFmtId="0" xfId="0" applyAlignment="1" applyBorder="1" applyFont="1">
      <alignment horizontal="center" vertical="center"/>
    </xf>
    <xf borderId="26" fillId="15" fontId="2" numFmtId="0" xfId="0" applyAlignment="1" applyBorder="1" applyFont="1">
      <alignment horizontal="center" vertical="center"/>
    </xf>
    <xf borderId="0" fillId="0" fontId="1" numFmtId="0" xfId="0" applyAlignment="1" applyFont="1">
      <alignment horizontal="center" vertical="center"/>
    </xf>
    <xf borderId="9" fillId="0" fontId="1" numFmtId="0" xfId="0" applyAlignment="1" applyBorder="1" applyFont="1">
      <alignment horizontal="center" vertical="center"/>
    </xf>
    <xf borderId="9" fillId="15" fontId="2" numFmtId="165" xfId="0" applyAlignment="1" applyBorder="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pivotCacheDefinition" Target="pivotCache/pivotCacheDefinition2.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pivotCacheDefinition" Target="pivotCache/pivotCacheDefinition1.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scatterChart>
        <c:scatterStyle val="lineMarker"/>
        <c:varyColors val="0"/>
        <c:ser>
          <c:idx val="0"/>
          <c:order val="0"/>
          <c:spPr>
            <a:ln>
              <a:noFill/>
            </a:ln>
          </c:spPr>
          <c:marker>
            <c:symbol val="circle"/>
            <c:size val="7"/>
            <c:spPr>
              <a:solidFill>
                <a:schemeClr val="accent1"/>
              </a:solidFill>
              <a:ln cmpd="sng">
                <a:solidFill>
                  <a:schemeClr val="accent1"/>
                </a:solidFill>
              </a:ln>
            </c:spPr>
          </c:marker>
          <c:trendline>
            <c:name/>
            <c:spPr>
              <a:ln w="19050">
                <a:solidFill>
                  <a:srgbClr val="000000">
                    <a:alpha val="0"/>
                  </a:srgbClr>
                </a:solidFill>
              </a:ln>
            </c:spPr>
            <c:trendlineType val="linear"/>
            <c:dispRSqr val="1"/>
            <c:dispEq val="0"/>
          </c:trendline>
          <c:xVal>
            <c:numRef>
              <c:f>'Ejercicio 11 y 12'!$E$1:$I$1</c:f>
            </c:numRef>
          </c:xVal>
          <c:yVal>
            <c:numRef>
              <c:f>'Ejercicio 11 y 12'!$E$8:$I$8</c:f>
              <c:numCache/>
            </c:numRef>
          </c:yVal>
        </c:ser>
        <c:dLbls>
          <c:showLegendKey val="0"/>
          <c:showVal val="0"/>
          <c:showCatName val="0"/>
          <c:showSerName val="0"/>
          <c:showPercent val="0"/>
          <c:showBubbleSize val="0"/>
        </c:dLbls>
        <c:axId val="532491447"/>
        <c:axId val="1140180900"/>
      </c:scatterChart>
      <c:valAx>
        <c:axId val="532491447"/>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140180900"/>
      </c:valAx>
      <c:valAx>
        <c:axId val="114018090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532491447"/>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Alimentos locales vs Combustible</a:t>
            </a:r>
          </a:p>
        </c:rich>
      </c:tx>
      <c:overlay val="0"/>
    </c:title>
    <c:plotArea>
      <c:layout/>
      <c:scatterChart>
        <c:scatterStyle val="lineMarker"/>
        <c:varyColors val="0"/>
        <c:ser>
          <c:idx val="0"/>
          <c:order val="0"/>
          <c:spPr>
            <a:ln>
              <a:noFill/>
            </a:ln>
          </c:spPr>
          <c:marker>
            <c:symbol val="circle"/>
            <c:size val="7"/>
            <c:spPr>
              <a:solidFill>
                <a:schemeClr val="accent1"/>
              </a:solidFill>
              <a:ln cmpd="sng">
                <a:solidFill>
                  <a:schemeClr val="accent1"/>
                </a:solidFill>
              </a:ln>
            </c:spPr>
          </c:marker>
          <c:trendline>
            <c:name/>
            <c:spPr>
              <a:ln w="19050">
                <a:solidFill>
                  <a:srgbClr val="000000">
                    <a:alpha val="0"/>
                  </a:srgbClr>
                </a:solidFill>
              </a:ln>
            </c:spPr>
            <c:trendlineType val="linear"/>
            <c:dispRSqr val="1"/>
            <c:dispEq val="0"/>
          </c:trendline>
          <c:xVal>
            <c:numRef>
              <c:f>'Ejercicio 13'!$C$2:$G$2</c:f>
            </c:numRef>
          </c:xVal>
          <c:yVal>
            <c:numRef>
              <c:f>'Ejercicio 13'!$C$4:$G$4</c:f>
              <c:numCache/>
            </c:numRef>
          </c:yVal>
        </c:ser>
        <c:dLbls>
          <c:showLegendKey val="0"/>
          <c:showVal val="0"/>
          <c:showCatName val="0"/>
          <c:showSerName val="0"/>
          <c:showPercent val="0"/>
          <c:showBubbleSize val="0"/>
        </c:dLbls>
        <c:axId val="1242620743"/>
        <c:axId val="312119772"/>
      </c:scatterChart>
      <c:valAx>
        <c:axId val="1242620743"/>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312119772"/>
      </c:valAx>
      <c:valAx>
        <c:axId val="31211977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242620743"/>
      </c:valAx>
    </c:plotArea>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Alimentos importados vs Combustible</a:t>
            </a:r>
          </a:p>
        </c:rich>
      </c:tx>
      <c:overlay val="0"/>
    </c:title>
    <c:plotArea>
      <c:layout/>
      <c:scatterChart>
        <c:scatterStyle val="lineMarker"/>
        <c:varyColors val="0"/>
        <c:ser>
          <c:idx val="0"/>
          <c:order val="0"/>
          <c:spPr>
            <a:ln>
              <a:noFill/>
            </a:ln>
          </c:spPr>
          <c:marker>
            <c:symbol val="circle"/>
            <c:size val="7"/>
            <c:spPr>
              <a:solidFill>
                <a:schemeClr val="accent1"/>
              </a:solidFill>
              <a:ln cmpd="sng">
                <a:solidFill>
                  <a:schemeClr val="accent1"/>
                </a:solidFill>
              </a:ln>
            </c:spPr>
          </c:marker>
          <c:trendline>
            <c:name/>
            <c:spPr>
              <a:ln w="19050">
                <a:solidFill>
                  <a:srgbClr val="000000">
                    <a:alpha val="0"/>
                  </a:srgbClr>
                </a:solidFill>
              </a:ln>
            </c:spPr>
            <c:trendlineType val="linear"/>
            <c:dispRSqr val="1"/>
            <c:dispEq val="0"/>
          </c:trendline>
          <c:xVal>
            <c:numRef>
              <c:f>'Ejercicio 13'!$C$3:$G$3</c:f>
            </c:numRef>
          </c:xVal>
          <c:yVal>
            <c:numRef>
              <c:f>'Ejercicio 13'!$C$5:$G$5</c:f>
              <c:numCache/>
            </c:numRef>
          </c:yVal>
        </c:ser>
        <c:dLbls>
          <c:showLegendKey val="0"/>
          <c:showVal val="0"/>
          <c:showCatName val="0"/>
          <c:showSerName val="0"/>
          <c:showPercent val="0"/>
          <c:showBubbleSize val="0"/>
        </c:dLbls>
        <c:axId val="443721370"/>
        <c:axId val="559783558"/>
      </c:scatterChart>
      <c:valAx>
        <c:axId val="443721370"/>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559783558"/>
      </c:valAx>
      <c:valAx>
        <c:axId val="55978355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443721370"/>
      </c:valAx>
    </c:plotArea>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Alimentos locales vs Gasolina</a:t>
            </a:r>
          </a:p>
        </c:rich>
      </c:tx>
      <c:overlay val="0"/>
    </c:title>
    <c:plotArea>
      <c:layout/>
      <c:scatterChart>
        <c:scatterStyle val="lineMarker"/>
        <c:varyColors val="0"/>
        <c:ser>
          <c:idx val="0"/>
          <c:order val="0"/>
          <c:spPr>
            <a:ln>
              <a:noFill/>
            </a:ln>
          </c:spPr>
          <c:marker>
            <c:symbol val="circle"/>
            <c:size val="7"/>
            <c:spPr>
              <a:solidFill>
                <a:schemeClr val="accent1"/>
              </a:solidFill>
              <a:ln cmpd="sng">
                <a:solidFill>
                  <a:schemeClr val="accent1"/>
                </a:solidFill>
              </a:ln>
            </c:spPr>
          </c:marker>
          <c:trendline>
            <c:name/>
            <c:spPr>
              <a:ln w="19050">
                <a:solidFill>
                  <a:srgbClr val="000000">
                    <a:alpha val="0"/>
                  </a:srgbClr>
                </a:solidFill>
              </a:ln>
            </c:spPr>
            <c:trendlineType val="linear"/>
            <c:dispRSqr val="1"/>
            <c:dispEq val="0"/>
          </c:trendline>
          <c:xVal>
            <c:numRef>
              <c:f>'Ejercicio 13'!$C$2:$G$2</c:f>
            </c:numRef>
          </c:xVal>
          <c:yVal>
            <c:numRef>
              <c:f>'Ejercicio 13'!$C$6:$G$6</c:f>
              <c:numCache/>
            </c:numRef>
          </c:yVal>
        </c:ser>
        <c:dLbls>
          <c:showLegendKey val="0"/>
          <c:showVal val="0"/>
          <c:showCatName val="0"/>
          <c:showSerName val="0"/>
          <c:showPercent val="0"/>
          <c:showBubbleSize val="0"/>
        </c:dLbls>
        <c:axId val="166093300"/>
        <c:axId val="317845513"/>
      </c:scatterChart>
      <c:valAx>
        <c:axId val="166093300"/>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317845513"/>
      </c:valAx>
      <c:valAx>
        <c:axId val="31784551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66093300"/>
      </c:valAx>
    </c:plotArea>
    <c:plotVisOnly val="1"/>
  </c:chart>
</c:chartSpace>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361950</xdr:colOff>
      <xdr:row>6</xdr:row>
      <xdr:rowOff>180975</xdr:rowOff>
    </xdr:from>
    <xdr:ext cx="4686300" cy="2686050"/>
    <xdr:graphicFrame>
      <xdr:nvGraphicFramePr>
        <xdr:cNvPr id="2" name="Chart 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381000</xdr:colOff>
      <xdr:row>7</xdr:row>
      <xdr:rowOff>19050</xdr:rowOff>
    </xdr:from>
    <xdr:ext cx="4286250" cy="2676525"/>
    <xdr:graphicFrame>
      <xdr:nvGraphicFramePr>
        <xdr:cNvPr id="3" name="Chart 3"/>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495300</xdr:colOff>
      <xdr:row>7</xdr:row>
      <xdr:rowOff>28575</xdr:rowOff>
    </xdr:from>
    <xdr:ext cx="4286250" cy="2676525"/>
    <xdr:graphicFrame>
      <xdr:nvGraphicFramePr>
        <xdr:cNvPr id="4" name="Chart 4"/>
        <xdr:cNvGraphicFramePr/>
      </xdr:nvGraphicFramePr>
      <xdr:xfrm>
        <a:off x="0" y="0"/>
        <a:ext cx="0" cy="0"/>
      </xdr:xfrm>
      <a:graphic>
        <a:graphicData uri="http://schemas.openxmlformats.org/drawingml/2006/chart">
          <c:chart r:id="rId3"/>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190500</xdr:colOff>
      <xdr:row>1</xdr:row>
      <xdr:rowOff>1066800</xdr:rowOff>
    </xdr:from>
    <xdr:ext cx="5572125" cy="4371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266700</xdr:colOff>
      <xdr:row>12</xdr:row>
      <xdr:rowOff>28575</xdr:rowOff>
    </xdr:from>
    <xdr:ext cx="4838700" cy="2857500"/>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K50" sheet="Ejercicio 7, 8, 10"/>
  </cacheSource>
  <cacheFields>
    <cacheField name="Año" numFmtId="0">
      <sharedItems containsSemiMixedTypes="0" containsString="0" containsNumber="1" containsInteger="1">
        <n v="2019.0"/>
        <n v="2020.0"/>
      </sharedItems>
    </cacheField>
    <cacheField name="Tipo" numFmtId="0">
      <sharedItems>
        <s v="Oferta"/>
        <s v="Demanda"/>
      </sharedItems>
    </cacheField>
    <cacheField name="Interacción/Componente" numFmtId="0">
      <sharedItems>
        <s v="Agua"/>
        <s v="Energía"/>
        <s v="Alimentos"/>
        <s v="Agua - Alimentos"/>
        <s v="Agua - Energía"/>
        <s v="Energía - Alimentos"/>
        <s v="Energía - Agua"/>
      </sharedItems>
    </cacheField>
    <cacheField name="Infraestructura/proceso" numFmtId="0">
      <sharedItems>
        <s v="Infraestructura de captación"/>
        <s v="Infraestructura de generación"/>
        <s v="Infraestructura natural"/>
        <s v="Bosques o sistemas agroforestales"/>
        <s v="Transporte de productos locales"/>
        <s v="Transporte de productos importados"/>
        <s v="Estaciones de servicio"/>
        <s v="Red urbana"/>
        <s v="Red rural"/>
        <s v="Red canales y uso tecnificado"/>
        <s v="Red canales"/>
        <s v="Comercio urbano"/>
        <s v="Recolección"/>
        <s v="Transporte foráneo"/>
        <s v="Transporte local"/>
      </sharedItems>
    </cacheField>
    <cacheField name="Uso Sectorial" numFmtId="0">
      <sharedItems>
        <s v="Consumo humano"/>
        <s v="Producción de energía hidroeléctrica"/>
        <s v="Provisión hídrica"/>
        <s v="Biomasa"/>
        <s v="Consumo de alimentos locales"/>
        <s v="Consumo de alimentos importados"/>
        <s v="Hidrocarburos"/>
        <s v="Agricultura"/>
        <s v="Electricidad"/>
        <s v="Consumo de productos frescos"/>
        <s v="Consumo de productos procesados"/>
      </sharedItems>
    </cacheField>
    <cacheField name="Indicador según uso específico" numFmtId="0">
      <sharedItems>
        <s v="Agua potable ofertada"/>
        <s v="Energía eléctrica ofertada"/>
        <s v="Agua disponible"/>
        <s v="Biomasa disponible"/>
        <s v="Hidrocarburos utilizados en transporte de alimentos locales"/>
        <s v="Hidrocarburos utilizados en transporte de alimentos importados"/>
        <s v="Hidrocarburos disponibles en el mercado local"/>
        <s v="Consumo doméstico de agua (zona urbana)"/>
        <s v="Consumo comercial de agua (zona urbana)"/>
        <s v="Consumo social de agua (zona urbana)"/>
        <s v="Consumo industrial de agua (zona urbana)"/>
        <s v="Consumo doméstico de agua (zona rural)"/>
        <s v="Producción cultivos varios (riego tecnificado)"/>
        <s v="Producción cultivos varios (riego inundación)"/>
        <s v="Agua utilizada para generación de energía"/>
        <s v="Consumo energía procesamiento alimentos"/>
        <s v="Consumo de energía por uso doméstico (refrigerador, licuadora, cafetera, etc.)"/>
        <s v="Consumo proceso Empresa de Agua (operación, distribución)"/>
        <s v="Consumo procesos  varios Empresa de Agua"/>
        <s v="Consumo de gasolina producción agrícola"/>
        <s v="Consumo doméstico de gas (zona urbana)"/>
        <s v="Consumo doméstico de gas (zona rural)"/>
        <s v="Consumo doméstico de leña (zona urbana)"/>
        <s v="Consumo doméstico de carbón (zona urbana)"/>
        <s v="Consumo doméstico de leña (zona rural)"/>
        <s v="Consumo de carnes (zona Urbana) - Fresco/Importado"/>
        <s v="Consumo de Frutas (zona Urbana) - Fresco/Importado"/>
        <s v="Consumo de Hortalizas (zona Urbana) - Fresco/Importado"/>
        <s v="Consumo de Tubérculos y derivados (zona Urbana) - Fresco/Importado"/>
        <s v="Consumo de Aceites y grasas (zona Urbana) - Procesado/Importado"/>
        <s v="Consumo de Agua mineral, refrescos, jugos (zona Urbana)  - Procesado/Importado"/>
        <s v="Consumo de Harinas (zona Urbana)  - Procesado/Importado"/>
        <s v="Consumo de Carnes (zona Urbana) - Fresco/Local"/>
        <s v="Consumo de Frutas (Zona Urbana)  - Fresco/Local"/>
        <s v="Consumo de Tubérculos y derivados (Zona Urbana)  - Fresco/Local"/>
        <s v="Consumo de Cereales (Zona Urbana)  - Procesado/Local"/>
        <s v="Consumo de Productos de panadería (Zona Urbana)  - Procesado/Local"/>
        <s v="Consumo de Productos lácteos (Zona Urbana)  - Procesado/Local"/>
        <s v="Consumo de carnes (Zona Rural) - Fresco/Importado"/>
        <s v="Consumo de Tubérculos y derivados (Zona Rural)  - Fresco/Importado"/>
        <s v="Consumo de Aceites y grasas (Zona Rural) - Procesado/Importado"/>
        <s v="Consumo de Agua mineral, refrescos, jugos (Zona Rural)  - Procesado/Importado"/>
        <s v="Consumo de Harinas (Zona Rural)  - Procesado/Importado"/>
        <s v="Consumo de Carnes (Zona Rural) - Fresco/Local"/>
        <s v="Consumo de Frutas (Zona Rural)  - Fresco/Local"/>
        <s v="Consumo de Tubérculos y derivados (Zona Rural) - Fresco/Local"/>
        <s v="Consumo de Cereales (Zona Rural) - Procesado/Local"/>
        <s v="Consumo de Productos de panadería (Zona Rural) - Procesado/Local"/>
        <s v="Consumo de Productos lácteos (Zona Rural) - Procesado/Local"/>
      </sharedItems>
    </cacheField>
    <cacheField name="Unidad" numFmtId="0">
      <sharedItems>
        <s v="m3/año"/>
        <s v="kwh/año"/>
        <s v="tn/año"/>
        <s v="gln/año"/>
      </sharedItems>
    </cacheField>
    <cacheField name="Dato estudio de caso" numFmtId="0">
      <sharedItems>
        <s v="40 millones de m3/año"/>
        <s v="1.7 Gwh/año"/>
        <s v="18750 millones de m3/año"/>
        <s v="1.56 millones de tn"/>
        <s v="2.53 millones de gln/año"/>
        <s v="45.2 millones de gln/año"/>
        <s v="19.5 millones de gln/año"/>
        <s v="80000 conexiones, 25 m3/mes"/>
        <s v="2000 tiendas, 30 m3/mes"/>
        <s v="100 centros, 45 m3/mes"/>
        <s v="50 empresas, 125 m3/mes"/>
        <s v="4500 conexiones, 15.5 m3/mes"/>
        <s v="20km2, 4500 m3/ha/año"/>
        <s v="700km2, 6000 m3/ha/año"/>
        <s v="3.5m3/s"/>
        <s v="1054401 kwh/año total consumido por todas las empresas"/>
        <s v="376025 kwh/año para el uso domestico"/>
        <s v="1000 kwh/mes"/>
        <s v="30 gln/mes"/>
        <s v="2% de gasolina, 45% del total de combustible, 19.5 millones de gln"/>
        <s v="136687 gln/año"/>
        <s v="15500 gln/año"/>
        <s v="30% de 350000 habitantes, 1 kg/hab/día"/>
        <s v="30% de 350000 habitantes, 0.5 kg/hab/día"/>
        <s v="25000 habitantes, 3 kg/hab/día"/>
        <s v="350000 habitantes, 200 gr/hab/día"/>
        <s v="350000 habitantes, 100 gr/hab/día"/>
        <s v="350000 habitantes, 150 gr/hab/día"/>
        <s v="350000 habitantes, 70 gr/hab/día"/>
        <s v="350000 habitantes, 1000 gr/hab/día"/>
        <s v="350000 habitantes, 270 gr/hab/día"/>
        <s v="350000 habitantes, 300 gr/hab/día"/>
        <s v="350000 habitantes, 250 gr/hab/día"/>
        <s v="350000 habitantes, 170 gr/hab/día"/>
        <s v="25000 habitantes, 120 gr/hab/día"/>
        <s v="25000 habitantes, 60 gr/hab/día"/>
        <s v="25000 habitantes, 50 gr/hab/día"/>
        <s v="25000 habitantes, 800 gr/hab/día"/>
        <s v="25000 habitantes, 220 gr/hab/día"/>
        <s v="25000 habitantes, 90 gr/hab/día"/>
        <s v="25000 habitantes, 300 gr/hab/día"/>
        <s v="25000 habitantes, 400 gr/hab/día"/>
        <s v="25000 habitantes, 150 gr/hab/día"/>
        <s v="25000 habitantes, 100 gr/hab/día"/>
        <s v="25000 habitantes, 200 gr/hab/día"/>
      </sharedItems>
    </cacheField>
    <cacheField name="Número de conexiones" numFmtId="0">
      <sharedItems containsString="0" containsBlank="1" containsNumber="1" containsInteger="1">
        <m/>
        <n v="80000.0"/>
        <n v="2000.0"/>
        <n v="100.0"/>
        <n v="50.0"/>
        <n v="4500.0"/>
        <n v="70000.0"/>
        <n v="350000.0"/>
        <n v="25000.0"/>
      </sharedItems>
    </cacheField>
    <cacheField name="Volumen o cantidad unitaria" numFmtId="0">
      <sharedItems containsString="0" containsBlank="1" containsNumber="1">
        <m/>
        <n v="25.0"/>
        <n v="30.0"/>
        <n v="45.0"/>
        <n v="125.0"/>
        <n v="15.5"/>
        <n v="4500.0"/>
        <n v="6000.0"/>
        <n v="3.5"/>
        <n v="1000.0"/>
        <n v="1.0"/>
        <n v="0.5"/>
        <n v="3.0"/>
        <n v="0.2"/>
        <n v="0.1"/>
        <n v="0.15"/>
        <n v="0.07"/>
        <n v="0.27"/>
        <n v="0.3"/>
        <n v="0.25"/>
        <n v="0.17"/>
        <n v="0.12"/>
        <n v="0.06"/>
        <n v="0.05"/>
        <n v="0.8"/>
        <n v="0.22"/>
        <n v="0.09"/>
        <n v="0.4"/>
      </sharedItems>
    </cacheField>
    <cacheField name="Volumen parcial" numFmtId="0">
      <sharedItems containsSemiMixedTypes="0" containsString="0" containsNumber="1">
        <n v="4.0E7"/>
        <n v="1700000.0"/>
        <n v="1.875E10"/>
        <n v="1560000.0"/>
        <n v="2530000.0"/>
        <n v="4.52E7"/>
        <n v="1.95E7"/>
        <n v="2.4E7"/>
        <n v="720000.0"/>
        <n v="54000.0"/>
        <n v="75000.0"/>
        <n v="837000.0"/>
        <n v="9000000.0"/>
        <n v="4.2E8"/>
        <n v="1.10376E8"/>
        <n v="1054401.0"/>
        <n v="376025.0"/>
        <n v="12000.0"/>
        <n v="360.0"/>
        <n v="175500.0"/>
        <n v="1366870.0"/>
        <n v="155000.0"/>
        <n v="38325.0"/>
        <n v="19162.5"/>
        <n v="27375.0"/>
        <n v="25550.0"/>
        <n v="12775.0"/>
        <n v="8942.500000000002"/>
        <n v="127750.0"/>
        <n v="34492.5"/>
        <n v="31937.5"/>
        <n v="21717.500000000004"/>
        <n v="1095.0"/>
        <n v="547.5"/>
        <n v="456.25"/>
        <n v="7300.0"/>
        <n v="2007.5"/>
        <n v="821.25"/>
        <n v="2737.5"/>
        <n v="3650.0"/>
        <n v="1368.75"/>
        <n v="912.5"/>
        <n v="1825.0"/>
      </sharedItems>
    </cacheField>
  </cacheFields>
</pivotCacheDefinition>
</file>

<file path=xl/pivotCache/pivotCacheDefinition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K50" sheet="Ejercicio 15"/>
  </cacheSource>
  <cacheFields>
    <cacheField name="Año" numFmtId="0">
      <sharedItems containsSemiMixedTypes="0" containsString="0" containsNumber="1" containsInteger="1">
        <n v="2019.0"/>
        <n v="2020.0"/>
      </sharedItems>
    </cacheField>
    <cacheField name="Tipo" numFmtId="0">
      <sharedItems>
        <s v="Oferta"/>
        <s v="Demanda"/>
      </sharedItems>
    </cacheField>
    <cacheField name="Interacción/Componente" numFmtId="0">
      <sharedItems>
        <s v="Agua"/>
        <s v="Energía"/>
        <s v="Alimentos"/>
        <s v="Agua - Alimentos"/>
        <s v="Agua - Energía"/>
        <s v="Energía - Alimentos"/>
        <s v="Energía - Agua"/>
      </sharedItems>
    </cacheField>
    <cacheField name="Infraestructura/proceso" numFmtId="0">
      <sharedItems>
        <s v="Infraestructura de captación"/>
        <s v="Infraestructura de generación"/>
        <s v="Infraestructura natural"/>
        <s v="Bosques o sistemas agroforestales"/>
        <s v="Transporte de productos locales"/>
        <s v="Transporte de productos importados"/>
        <s v="Estaciones de servicio"/>
        <s v="Red urbana"/>
        <s v="Red rural"/>
        <s v="Red canales y uso tecnificado"/>
        <s v="Red canales"/>
        <s v="Comercio urbano"/>
        <s v="Recolección"/>
        <s v="Transporte foráneo"/>
        <s v="Transporte local"/>
      </sharedItems>
    </cacheField>
    <cacheField name="Uso Sectorial" numFmtId="0">
      <sharedItems>
        <s v="Consumo humano"/>
        <s v="Producción de energía hidroeléctrica"/>
        <s v="Provisión hídrica"/>
        <s v="Biomasa"/>
        <s v="Consumo de alimentos locales"/>
        <s v="Consumo de alimentos importados"/>
        <s v="Hidrocarburos"/>
        <s v="Agricultura"/>
        <s v="Electricidad"/>
        <s v="Consumo de productos frescos"/>
        <s v="Consumo de productos procesados"/>
      </sharedItems>
    </cacheField>
    <cacheField name="Indicador según uso específico" numFmtId="0">
      <sharedItems>
        <s v="Agua potable ofertada"/>
        <s v="Energía eléctrica ofertada"/>
        <s v="Agua disponible"/>
        <s v="Biomasa disponible"/>
        <s v="Hidrocarburos utilizados en transporte de alimentos locales"/>
        <s v="Hidrocarburos utilizados en transporte de alimentos importados"/>
        <s v="Hidrocarburos disponibles en el mercado local"/>
        <s v="Consumo doméstico de agua (zona urbana)"/>
        <s v="Consumo comercial de agua (zona urbana)"/>
        <s v="Consumo social de agua (zona urbana)"/>
        <s v="Consumo industrial de agua (zona urbana)"/>
        <s v="Consumo doméstico de agua (zona rural)"/>
        <s v="Producción cultivos varios (riego tecnificado)"/>
        <s v="Producción cultivos varios (riego inundación)"/>
        <s v="Agua utilizada para generación de energía"/>
        <s v="Consumo energía procesamiento alimentos"/>
        <s v="Consumo de energía por uso doméstico (refrigerador, licuadora, cafetera, etc.)"/>
        <s v="Consumo proceso Empresa de Agua (operación, distribución)"/>
        <s v="Consumo procesos  varios Empresa de Agua"/>
        <s v="Consumo de gasolina producción agrícola"/>
        <s v="Consumo doméstico de gas (zona urbana)"/>
        <s v="Consumo doméstico de gas (zona rural)"/>
        <s v="Consumo doméstico de leña (zona urbana)"/>
        <s v="Consumo doméstico de carbón (zona urbana)"/>
        <s v="Consumo doméstico de leña (zona rural)"/>
        <s v="Consumo de carnes (zona Urbana) - Fresco/Importado"/>
        <s v="Consumo de Frutas (zona Urbana) - Fresco/Importado"/>
        <s v="Consumo de Hortalizas (zona Urbana) - Fresco/Importado"/>
        <s v="Consumo de Tubérculos y derivados (zona Urbana) - Fresco/Importado"/>
        <s v="Consumo de Aceites y grasas (zona Urbana) - Procesado/Importado"/>
        <s v="Consumo de Agua mineral, refrescos, jugos (zona Urbana)  - Procesado/Importado"/>
        <s v="Consumo de Harinas (zona Urbana)  - Procesado/Importado"/>
        <s v="Consumo de Carnes (zona Urbana) - Fresco/Local"/>
        <s v="Consumo de Frutas (Zona Urbana)  - Fresco/Local"/>
        <s v="Consumo de Tubérculos y derivados (Zona Urbana)  - Fresco/Local"/>
        <s v="Consumo de Cereales (Zona Urbana)  - Procesado/Local"/>
        <s v="Consumo de Productos de panadería (Zona Urbana)  - Procesado/Local"/>
        <s v="Consumo de Productos lácteos (Zona Urbana)  - Procesado/Local"/>
        <s v="Consumo de carnes (Zona Rural) - Fresco/Importado"/>
        <s v="Consumo de Tubérculos y derivados (Zona Rural)  - Fresco/Importado"/>
        <s v="Consumo de Aceites y grasas (Zona Rural) - Procesado/Importado"/>
        <s v="Consumo de Agua mineral, refrescos, jugos (Zona Rural)  - Procesado/Importado"/>
        <s v="Consumo de Harinas (Zona Rural)  - Procesado/Importado"/>
        <s v="Consumo de Carnes (Zona Rural) - Fresco/Local"/>
        <s v="Consumo de Frutas (Zona Rural)  - Fresco/Local"/>
        <s v="Consumo de Tubérculos y derivados (Zona Rural) - Fresco/Local"/>
        <s v="Consumo de Cereales (Zona Rural) - Procesado/Local"/>
        <s v="Consumo de Productos de panadería (Zona Rural) - Procesado/Local"/>
        <s v="Consumo de Productos lácteos (Zona Rural) - Procesado/Local"/>
      </sharedItems>
    </cacheField>
    <cacheField name="Unidad" numFmtId="0">
      <sharedItems>
        <s v="m3/año"/>
        <s v="kwh/año"/>
        <s v="tn/año"/>
        <s v="gln/año"/>
      </sharedItems>
    </cacheField>
    <cacheField name="Dato estudio de caso" numFmtId="0">
      <sharedItems>
        <s v="40 millones de m3/año"/>
        <s v="1.7 Gwh/año"/>
        <s v="18750 millones de m3/año, -5% por reducción de CC al 2025"/>
        <s v="1.56 millones de tn"/>
        <s v="(en función del volumen total de alimentos a transportar)"/>
        <s v="19.5 millones de gln/año"/>
        <s v="83888 conexiones, 25 m3/mes, eficiencia de uso: -10% al consumo"/>
        <s v="2000 tiendas, 30 m3/mes, +10% de usuarios, eficiencia de uso: -10% al consumo"/>
        <s v="100 centros, 45 m3/mes, +10% de usuarios, eficiencia de uso: -10% al consumo"/>
        <s v="50 empresas, 125 m3/mes, +10% de usuarios eficiencia de uso: -10% al consumo"/>
        <s v="4683 conexiones, 15.5 m3/mes"/>
        <s v="400km2, 4500 m3/ha/año"/>
        <s v="600km2, 6000 m3/ha/año"/>
        <s v="3.5m3/s"/>
        <s v="1054401 kwh/año total consumido por todas las empresas, +13.64% anual"/>
        <s v="376025 kwh/año para el uso domestico, +29.87% anual"/>
        <s v="1000 kwh/mes"/>
        <s v="30 gln/mes"/>
        <s v="(en función del volumen total de alimentos locales a producir)"/>
        <s v="136687 gln/año, +10% por crecimiento poblacional"/>
        <s v="15500 gln/año, +10% por crecimiento poblacional"/>
        <s v="30% de 369110 habitantes, 1 kg/hab/día"/>
        <s v="30% de 369110  habitantes, 0.5 kg/hab/día"/>
        <s v="25759 habitantes, 3 kg/hab/día"/>
        <s v="369110  habitantes, 200 gr/hab/día"/>
        <s v="369110  habitantes, 100 gr/hab/día"/>
        <s v="369110 habitantes, 150 gr/hab/día"/>
        <s v="369110  habitantes, 70 gr/hab/día"/>
        <s v="369110  habitantes, 1000 gr/hab/día"/>
        <s v="369110  habitantes, 270 gr/hab/día"/>
        <s v="369110  habitantes, 300 gr/hab/día"/>
        <s v="369110  habitantes, 250 gr/hab/día"/>
        <s v="369110  habitantes, 170 gr/hab/día"/>
        <s v="25759 habitantes, 120 gr/hab/día"/>
        <s v="25759 habitantes, 60 gr/hab/día"/>
        <s v="25759 habitantes, 50 gr/hab/día"/>
        <s v="25759 habitantes, 800 gr/hab/día"/>
        <s v="25759 habitantes, 220 gr/hab/día"/>
        <s v="25759 habitantes, 90 gr/hab/día"/>
        <s v="25759 habitantes, 300 gr/hab/día"/>
        <s v="25759 habitantes, 400 gr/hab/día"/>
        <s v="25759 habitantes, 150 gr/hab/día"/>
        <s v="25759 habitantes, 100 gr/hab/día"/>
        <s v="25759 habitantes, 200 gr/hab/día"/>
      </sharedItems>
    </cacheField>
    <cacheField name="Número de conexiones" numFmtId="0">
      <sharedItems containsString="0" containsBlank="1" containsNumber="1">
        <m/>
        <n v="80000.0"/>
        <n v="2200.0"/>
        <n v="110.00000000000001"/>
        <n v="55.00000000000001"/>
        <n v="4683.0"/>
        <n v="40000.0"/>
        <n v="60000.0"/>
        <n v="369110.0"/>
        <n v="25000.0"/>
        <n v="25759.0"/>
      </sharedItems>
    </cacheField>
    <cacheField name="Volumen o cantidad unitaria" numFmtId="0">
      <sharedItems containsString="0" containsBlank="1" containsNumber="1">
        <m/>
        <n v="22.5"/>
        <n v="27.0"/>
        <n v="40.5"/>
        <n v="112.5"/>
        <n v="15.5"/>
        <n v="4500.0"/>
        <n v="6000.0"/>
        <n v="3.5"/>
        <n v="1000.0"/>
        <n v="30.0"/>
        <n v="1.0"/>
        <n v="0.5"/>
        <n v="3.0"/>
        <n v="0.2"/>
        <n v="0.1"/>
        <n v="0.15"/>
        <n v="0.07"/>
        <n v="0.27"/>
        <n v="0.3"/>
        <n v="0.25"/>
        <n v="0.17"/>
        <n v="0.12"/>
        <n v="0.06"/>
        <n v="0.05"/>
        <n v="0.8"/>
        <n v="0.22"/>
        <n v="0.09"/>
        <n v="0.4"/>
      </sharedItems>
    </cacheField>
    <cacheField name="Volumen parcial" numFmtId="0">
      <sharedItems containsString="0" containsBlank="1" containsNumber="1">
        <n v="4.0E7"/>
        <n v="1700000.0"/>
        <n v="1.78125E10"/>
        <n v="1560000.0"/>
        <m/>
        <n v="1.95E7"/>
        <n v="2.16E7"/>
        <n v="712800.0"/>
        <n v="53460.000000000015"/>
        <n v="74250.00000000001"/>
        <n v="871038.0"/>
        <n v="1.8E8"/>
        <n v="3.6E8"/>
        <n v="1.10376E8"/>
        <n v="2270874.6352587542"/>
        <n v="1804138.0378396602"/>
        <n v="12000.0"/>
        <n v="360.0"/>
        <n v="1503557.0000000002"/>
        <n v="170500.0"/>
        <n v="40417.545"/>
        <n v="20208.7725"/>
        <n v="27375.0"/>
        <n v="26945.03"/>
        <n v="13472.515"/>
        <n v="9430.7605"/>
        <n v="134725.15"/>
        <n v="36375.79050000001"/>
        <n v="33681.2875"/>
        <n v="22903.2755"/>
        <n v="1128.2441999999999"/>
        <n v="564.1220999999999"/>
        <n v="470.10175"/>
        <n v="7521.628"/>
        <n v="2068.4477"/>
        <n v="846.1831500000001"/>
        <n v="2820.6105"/>
        <n v="3760.814"/>
        <n v="1410.30525"/>
        <n v="940.2035"/>
        <n v="1880.407"/>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Ejercicio 7, 8, 10" cacheId="0" dataCaption="" compact="0" compactData="0">
  <location ref="M2:O54" firstHeaderRow="0" firstDataRow="2" firstDataCol="0"/>
  <pivotFields>
    <pivotField name="Año" compact="0" outline="0" multipleItemSelectionAllowed="1" showAll="0">
      <items>
        <item x="0"/>
        <item x="1"/>
        <item t="default"/>
      </items>
    </pivotField>
    <pivotField name="Tipo" axis="axisRow" compact="0" outline="0" multipleItemSelectionAllowed="1" showAll="0" sortType="ascending">
      <items>
        <item x="1"/>
        <item x="0"/>
        <item t="default"/>
      </items>
    </pivotField>
    <pivotField name="Interacción/Componente" compact="0" outline="0" multipleItemSelectionAllowed="1" showAll="0">
      <items>
        <item x="0"/>
        <item x="1"/>
        <item x="2"/>
        <item x="3"/>
        <item x="4"/>
        <item x="5"/>
        <item x="6"/>
        <item t="default"/>
      </items>
    </pivotField>
    <pivotField name="Infraestructura/proceso" compact="0" outline="0" multipleItemSelectionAllowed="1" showAll="0">
      <items>
        <item x="0"/>
        <item x="1"/>
        <item x="2"/>
        <item x="3"/>
        <item x="4"/>
        <item x="5"/>
        <item x="6"/>
        <item x="7"/>
        <item x="8"/>
        <item x="9"/>
        <item x="10"/>
        <item x="11"/>
        <item x="12"/>
        <item x="13"/>
        <item x="14"/>
        <item t="default"/>
      </items>
    </pivotField>
    <pivotField name="Uso Sectorial" compact="0" outline="0" multipleItemSelectionAllowed="1" showAll="0">
      <items>
        <item x="0"/>
        <item x="1"/>
        <item x="2"/>
        <item x="3"/>
        <item x="4"/>
        <item x="5"/>
        <item x="6"/>
        <item x="7"/>
        <item x="8"/>
        <item x="9"/>
        <item x="10"/>
        <item t="default"/>
      </items>
    </pivotField>
    <pivotField name="Indicador según uso específico" axis="axisRow" compact="0" outline="0" multipleItemSelectionAllowed="1" showAll="0" sortType="ascending">
      <items>
        <item x="2"/>
        <item x="0"/>
        <item x="14"/>
        <item x="3"/>
        <item x="8"/>
        <item x="40"/>
        <item x="29"/>
        <item x="41"/>
        <item x="30"/>
        <item x="38"/>
        <item x="43"/>
        <item x="25"/>
        <item x="32"/>
        <item x="46"/>
        <item x="35"/>
        <item x="16"/>
        <item x="44"/>
        <item x="33"/>
        <item x="26"/>
        <item x="19"/>
        <item x="42"/>
        <item x="31"/>
        <item x="27"/>
        <item x="47"/>
        <item x="36"/>
        <item x="48"/>
        <item x="37"/>
        <item x="39"/>
        <item x="45"/>
        <item x="34"/>
        <item x="28"/>
        <item x="11"/>
        <item x="7"/>
        <item x="23"/>
        <item x="21"/>
        <item x="20"/>
        <item x="24"/>
        <item x="22"/>
        <item x="15"/>
        <item x="10"/>
        <item x="17"/>
        <item x="18"/>
        <item x="9"/>
        <item x="1"/>
        <item x="6"/>
        <item x="5"/>
        <item x="4"/>
        <item x="13"/>
        <item x="12"/>
        <item t="default"/>
      </items>
    </pivotField>
    <pivotField name="Unidad" compact="0" outline="0" multipleItemSelectionAllowed="1" showAll="0">
      <items>
        <item x="0"/>
        <item x="1"/>
        <item x="2"/>
        <item x="3"/>
        <item t="default"/>
      </items>
    </pivotField>
    <pivotField name="Dato estudio de cas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name="Número de conexiones" compact="0" outline="0" multipleItemSelectionAllowed="1" showAll="0">
      <items>
        <item x="0"/>
        <item x="1"/>
        <item x="2"/>
        <item x="3"/>
        <item x="4"/>
        <item x="5"/>
        <item x="6"/>
        <item x="7"/>
        <item x="8"/>
        <item t="default"/>
      </items>
    </pivotField>
    <pivotField name="Volumen o cantidad unitari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name="Volumen parcial"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pivotField>
  </pivotFields>
  <rowFields>
    <field x="1"/>
    <field x="5"/>
  </rowFields>
  <dataFields>
    <dataField name="Suma de Volumen parcial" fld="10" baseField="0"/>
  </dataFields>
</pivotTableDefinition>
</file>

<file path=xl/pivotTables/pivotTable2.xml><?xml version="1.0" encoding="utf-8"?>
<pivotTableDefinition xmlns="http://schemas.openxmlformats.org/spreadsheetml/2006/main" name="Ejercicio 15" cacheId="1" dataCaption="" compact="0" compactData="0">
  <location ref="M2:O54" firstHeaderRow="0" firstDataRow="2" firstDataCol="0"/>
  <pivotFields>
    <pivotField name="Año" compact="0" outline="0" multipleItemSelectionAllowed="1" showAll="0">
      <items>
        <item x="0"/>
        <item x="1"/>
        <item t="default"/>
      </items>
    </pivotField>
    <pivotField name="Tipo" axis="axisRow" compact="0" outline="0" multipleItemSelectionAllowed="1" showAll="0" sortType="ascending">
      <items>
        <item x="1"/>
        <item x="0"/>
        <item t="default"/>
      </items>
    </pivotField>
    <pivotField name="Interacción/Componente" compact="0" outline="0" multipleItemSelectionAllowed="1" showAll="0">
      <items>
        <item x="0"/>
        <item x="1"/>
        <item x="2"/>
        <item x="3"/>
        <item x="4"/>
        <item x="5"/>
        <item x="6"/>
        <item t="default"/>
      </items>
    </pivotField>
    <pivotField name="Infraestructura/proceso" compact="0" outline="0" multipleItemSelectionAllowed="1" showAll="0">
      <items>
        <item x="0"/>
        <item x="1"/>
        <item x="2"/>
        <item x="3"/>
        <item x="4"/>
        <item x="5"/>
        <item x="6"/>
        <item x="7"/>
        <item x="8"/>
        <item x="9"/>
        <item x="10"/>
        <item x="11"/>
        <item x="12"/>
        <item x="13"/>
        <item x="14"/>
        <item t="default"/>
      </items>
    </pivotField>
    <pivotField name="Uso Sectorial" compact="0" outline="0" multipleItemSelectionAllowed="1" showAll="0">
      <items>
        <item x="0"/>
        <item x="1"/>
        <item x="2"/>
        <item x="3"/>
        <item x="4"/>
        <item x="5"/>
        <item x="6"/>
        <item x="7"/>
        <item x="8"/>
        <item x="9"/>
        <item x="10"/>
        <item t="default"/>
      </items>
    </pivotField>
    <pivotField name="Indicador según uso específico" axis="axisRow" compact="0" outline="0" multipleItemSelectionAllowed="1" showAll="0" sortType="ascending">
      <items>
        <item x="2"/>
        <item x="0"/>
        <item x="14"/>
        <item x="3"/>
        <item x="8"/>
        <item x="40"/>
        <item x="29"/>
        <item x="41"/>
        <item x="30"/>
        <item x="38"/>
        <item x="43"/>
        <item x="25"/>
        <item x="32"/>
        <item x="46"/>
        <item x="35"/>
        <item x="16"/>
        <item x="44"/>
        <item x="33"/>
        <item x="26"/>
        <item x="19"/>
        <item x="42"/>
        <item x="31"/>
        <item x="27"/>
        <item x="47"/>
        <item x="36"/>
        <item x="48"/>
        <item x="37"/>
        <item x="39"/>
        <item x="45"/>
        <item x="34"/>
        <item x="28"/>
        <item x="11"/>
        <item x="7"/>
        <item x="23"/>
        <item x="21"/>
        <item x="20"/>
        <item x="24"/>
        <item x="22"/>
        <item x="15"/>
        <item x="10"/>
        <item x="17"/>
        <item x="18"/>
        <item x="9"/>
        <item x="1"/>
        <item x="6"/>
        <item x="5"/>
        <item x="4"/>
        <item x="13"/>
        <item x="12"/>
        <item t="default"/>
      </items>
    </pivotField>
    <pivotField name="Unidad" compact="0" outline="0" multipleItemSelectionAllowed="1" showAll="0">
      <items>
        <item x="0"/>
        <item x="1"/>
        <item x="2"/>
        <item x="3"/>
        <item t="default"/>
      </items>
    </pivotField>
    <pivotField name="Dato estudio de cas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name="Número de conexiones" compact="0" outline="0" multipleItemSelectionAllowed="1" showAll="0">
      <items>
        <item x="0"/>
        <item x="1"/>
        <item x="2"/>
        <item x="3"/>
        <item x="4"/>
        <item x="5"/>
        <item x="6"/>
        <item x="7"/>
        <item x="8"/>
        <item x="9"/>
        <item x="10"/>
        <item t="default"/>
      </items>
    </pivotField>
    <pivotField name="Volumen o cantidad unitari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name="Volumen parcial"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t="default"/>
      </items>
    </pivotField>
  </pivotFields>
  <rowFields>
    <field x="1"/>
    <field x="5"/>
  </rowFields>
  <dataFields>
    <dataField name="Suma de Volumen parcial" fld="10"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2.xm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www.emsenergy.com/herramientas-de-energia" TargetMode="External"/><Relationship Id="rId2" Type="http://schemas.openxmlformats.org/officeDocument/2006/relationships/hyperlink" Target="http://sie.energia.gob.mx/docs/cat_unidades_es.pdf" TargetMode="External"/><Relationship Id="rId3" Type="http://schemas.openxmlformats.org/officeDocument/2006/relationships/hyperlink" Target="http://www.emsenergy.com/herramientas-de-energia" TargetMode="External"/><Relationship Id="rId4" Type="http://schemas.openxmlformats.org/officeDocument/2006/relationships/hyperlink" Target="http://www.emsenergy.com/herramientas-de-energia" TargetMode="External"/><Relationship Id="rId11" Type="http://schemas.openxmlformats.org/officeDocument/2006/relationships/hyperlink" Target="http://ptcentre.net46.net/documents/eselec11.html" TargetMode="External"/><Relationship Id="rId10" Type="http://schemas.openxmlformats.org/officeDocument/2006/relationships/hyperlink" Target="http://ptcentre.net46.net/documents/eselec11.html" TargetMode="External"/><Relationship Id="rId12" Type="http://schemas.openxmlformats.org/officeDocument/2006/relationships/drawing" Target="../drawings/drawing8.xml"/><Relationship Id="rId9" Type="http://schemas.openxmlformats.org/officeDocument/2006/relationships/hyperlink" Target="http://ptcentre.net46.net/documents/eselec11.html" TargetMode="External"/><Relationship Id="rId5" Type="http://schemas.openxmlformats.org/officeDocument/2006/relationships/hyperlink" Target="http://www.emsenergy.com/herramientas-de-energia" TargetMode="External"/><Relationship Id="rId6" Type="http://schemas.openxmlformats.org/officeDocument/2006/relationships/hyperlink" Target="http://www.emsenergy.com/herramientas-de-energia" TargetMode="External"/><Relationship Id="rId7" Type="http://schemas.openxmlformats.org/officeDocument/2006/relationships/hyperlink" Target="http://www.emsenergy.com/herramientas-de-energia" TargetMode="External"/><Relationship Id="rId8" Type="http://schemas.openxmlformats.org/officeDocument/2006/relationships/hyperlink" Target="http://sie.energia.gob.mx/docs/cat_unidades_es.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38"/>
    <col customWidth="1" min="2" max="4" width="31.25"/>
    <col customWidth="1" min="5" max="5" width="42.25"/>
    <col customWidth="1" min="6" max="6" width="9.38"/>
  </cols>
  <sheetData>
    <row r="1">
      <c r="A1" s="1" t="s">
        <v>0</v>
      </c>
      <c r="B1" s="1" t="s">
        <v>1</v>
      </c>
      <c r="C1" s="1" t="s">
        <v>2</v>
      </c>
      <c r="D1" s="1" t="s">
        <v>3</v>
      </c>
      <c r="E1" s="1" t="s">
        <v>4</v>
      </c>
    </row>
    <row r="2">
      <c r="A2" s="2" t="s">
        <v>5</v>
      </c>
      <c r="B2" s="3" t="s">
        <v>6</v>
      </c>
      <c r="C2" s="3" t="s">
        <v>7</v>
      </c>
      <c r="D2" s="3" t="s">
        <v>8</v>
      </c>
      <c r="E2" s="3" t="s">
        <v>9</v>
      </c>
    </row>
    <row r="3" ht="61.5" customHeight="1">
      <c r="A3" s="4"/>
      <c r="B3" s="3" t="s">
        <v>10</v>
      </c>
      <c r="C3" s="3" t="s">
        <v>11</v>
      </c>
      <c r="D3" s="3" t="s">
        <v>12</v>
      </c>
      <c r="E3" s="3" t="s">
        <v>13</v>
      </c>
    </row>
    <row r="4">
      <c r="A4" s="4"/>
      <c r="B4" s="3" t="s">
        <v>14</v>
      </c>
      <c r="C4" s="3" t="s">
        <v>15</v>
      </c>
      <c r="D4" s="3" t="s">
        <v>16</v>
      </c>
      <c r="E4" s="3" t="s">
        <v>17</v>
      </c>
    </row>
    <row r="5">
      <c r="A5" s="5"/>
      <c r="B5" s="3" t="s">
        <v>18</v>
      </c>
      <c r="C5" s="3" t="s">
        <v>19</v>
      </c>
      <c r="D5" s="3" t="s">
        <v>20</v>
      </c>
      <c r="E5" s="6" t="s">
        <v>21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5"/>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7.0"/>
    <col customWidth="1" min="2" max="8" width="9.38"/>
  </cols>
  <sheetData>
    <row r="1">
      <c r="A1" s="39" t="s">
        <v>93</v>
      </c>
      <c r="B1" s="39"/>
      <c r="C1" s="39">
        <v>2015.0</v>
      </c>
      <c r="D1" s="39">
        <v>2016.0</v>
      </c>
      <c r="E1" s="39">
        <v>2017.0</v>
      </c>
      <c r="F1" s="39">
        <v>2018.0</v>
      </c>
      <c r="G1" s="39">
        <v>2019.0</v>
      </c>
      <c r="H1" s="39">
        <v>2025.0</v>
      </c>
    </row>
    <row r="2">
      <c r="A2" s="39" t="s">
        <v>382</v>
      </c>
      <c r="B2" s="42" t="s">
        <v>383</v>
      </c>
      <c r="C2" s="42">
        <v>175.42</v>
      </c>
      <c r="D2" s="42">
        <v>176.43</v>
      </c>
      <c r="E2" s="42">
        <v>173.05</v>
      </c>
      <c r="F2" s="42">
        <v>169.13</v>
      </c>
      <c r="G2" s="42">
        <v>167.17000000000002</v>
      </c>
      <c r="H2" s="80">
        <v>167.59982345249998</v>
      </c>
    </row>
    <row r="3">
      <c r="A3" s="39" t="s">
        <v>384</v>
      </c>
      <c r="B3" s="42" t="s">
        <v>383</v>
      </c>
      <c r="C3" s="42">
        <v>220.13</v>
      </c>
      <c r="D3" s="42">
        <v>245.63</v>
      </c>
      <c r="E3" s="42">
        <v>255.56</v>
      </c>
      <c r="F3" s="42">
        <v>268.45</v>
      </c>
      <c r="G3" s="42">
        <v>265.62874999999997</v>
      </c>
      <c r="H3" s="80">
        <v>285.12073184999997</v>
      </c>
    </row>
    <row r="4">
      <c r="A4" s="39" t="s">
        <v>385</v>
      </c>
      <c r="B4" s="42" t="s">
        <v>208</v>
      </c>
      <c r="C4" s="42">
        <v>2561800.0</v>
      </c>
      <c r="D4" s="42">
        <v>2561950.0</v>
      </c>
      <c r="E4" s="42">
        <v>2550900.0</v>
      </c>
      <c r="F4" s="42">
        <v>2540450.0</v>
      </c>
      <c r="G4" s="42">
        <v>2530000.0</v>
      </c>
      <c r="H4" s="51">
        <f>3444*H2+2000000</f>
        <v>2577213.792</v>
      </c>
    </row>
    <row r="5">
      <c r="A5" s="39" t="s">
        <v>386</v>
      </c>
      <c r="B5" s="42" t="s">
        <v>208</v>
      </c>
      <c r="C5" s="42">
        <v>4.529E7</v>
      </c>
      <c r="D5" s="42">
        <f>AVERAGE(E5,C5)</f>
        <v>45270000</v>
      </c>
      <c r="E5" s="42">
        <v>4.525E7</v>
      </c>
      <c r="F5" s="42">
        <f>AVERAGE(G5,E5)</f>
        <v>45225000</v>
      </c>
      <c r="G5" s="42">
        <v>4.52E7</v>
      </c>
      <c r="H5" s="51">
        <f>-1649.3*H3+50000000</f>
        <v>49529750.38</v>
      </c>
    </row>
    <row r="6">
      <c r="A6" s="39" t="s">
        <v>387</v>
      </c>
      <c r="B6" s="42" t="s">
        <v>208</v>
      </c>
      <c r="C6" s="42">
        <v>176065.0</v>
      </c>
      <c r="D6" s="42">
        <v>176659.0</v>
      </c>
      <c r="E6" s="42">
        <v>175857.0</v>
      </c>
      <c r="F6" s="42">
        <v>175580.0</v>
      </c>
      <c r="G6" s="42">
        <v>175500.0</v>
      </c>
      <c r="H6" s="51">
        <f>105.07*H2+157835</f>
        <v>175444.7135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2" width="23.38"/>
    <col customWidth="1" min="3" max="3" width="20.38"/>
    <col customWidth="1" min="4" max="4" width="19.63"/>
    <col customWidth="1" min="5" max="5" width="20.38"/>
    <col customWidth="1" min="6" max="8" width="17.88"/>
  </cols>
  <sheetData>
    <row r="1">
      <c r="A1" s="35"/>
      <c r="B1" s="81" t="s">
        <v>388</v>
      </c>
      <c r="C1" s="81">
        <v>2025.0</v>
      </c>
      <c r="D1" s="35"/>
      <c r="E1" s="35"/>
    </row>
    <row r="2">
      <c r="C2" s="82" t="s">
        <v>389</v>
      </c>
      <c r="D2" s="26"/>
      <c r="E2" s="27"/>
    </row>
    <row r="3">
      <c r="A3" s="83" t="s">
        <v>22</v>
      </c>
      <c r="B3" s="84" t="s">
        <v>117</v>
      </c>
      <c r="C3" s="85" t="s">
        <v>390</v>
      </c>
      <c r="D3" s="85" t="s">
        <v>391</v>
      </c>
      <c r="E3" s="85" t="s">
        <v>392</v>
      </c>
      <c r="F3" s="85" t="s">
        <v>390</v>
      </c>
      <c r="G3" s="85" t="s">
        <v>391</v>
      </c>
      <c r="H3" s="85" t="s">
        <v>392</v>
      </c>
    </row>
    <row r="4">
      <c r="A4" s="48">
        <v>1.0</v>
      </c>
      <c r="B4" s="86" t="s">
        <v>188</v>
      </c>
      <c r="C4" s="3" t="s">
        <v>393</v>
      </c>
      <c r="D4" s="2" t="s">
        <v>394</v>
      </c>
      <c r="E4" s="3" t="s">
        <v>395</v>
      </c>
      <c r="F4" s="3" t="s">
        <v>396</v>
      </c>
      <c r="G4" s="3" t="s">
        <v>369</v>
      </c>
      <c r="H4" s="48" t="s">
        <v>397</v>
      </c>
    </row>
    <row r="5">
      <c r="A5" s="56">
        <v>2.0</v>
      </c>
      <c r="B5" s="86" t="s">
        <v>196</v>
      </c>
      <c r="C5" s="3" t="s">
        <v>398</v>
      </c>
      <c r="D5" s="2" t="s">
        <v>394</v>
      </c>
      <c r="E5" s="3" t="s">
        <v>399</v>
      </c>
      <c r="F5" s="3" t="s">
        <v>400</v>
      </c>
      <c r="G5" s="3" t="s">
        <v>366</v>
      </c>
      <c r="H5" s="48" t="s">
        <v>401</v>
      </c>
    </row>
    <row r="6">
      <c r="A6" s="56">
        <v>3.0</v>
      </c>
      <c r="B6" s="86" t="s">
        <v>204</v>
      </c>
      <c r="C6" s="3" t="s">
        <v>402</v>
      </c>
      <c r="D6" s="2" t="s">
        <v>394</v>
      </c>
      <c r="E6" s="3" t="s">
        <v>403</v>
      </c>
      <c r="F6" s="3" t="s">
        <v>404</v>
      </c>
      <c r="G6" s="87" t="s">
        <v>405</v>
      </c>
      <c r="H6" s="3" t="s">
        <v>405</v>
      </c>
    </row>
    <row r="7">
      <c r="A7" s="48">
        <v>4.0</v>
      </c>
      <c r="B7" s="86" t="s">
        <v>212</v>
      </c>
      <c r="C7" s="3" t="s">
        <v>402</v>
      </c>
      <c r="D7" s="2" t="s">
        <v>394</v>
      </c>
      <c r="E7" s="3" t="s">
        <v>403</v>
      </c>
      <c r="F7" s="3" t="s">
        <v>406</v>
      </c>
      <c r="G7" s="87" t="s">
        <v>405</v>
      </c>
      <c r="H7" s="3" t="s">
        <v>405</v>
      </c>
    </row>
    <row r="8">
      <c r="A8" s="56">
        <v>5.0</v>
      </c>
      <c r="B8" s="86" t="s">
        <v>218</v>
      </c>
      <c r="C8" s="3" t="s">
        <v>407</v>
      </c>
      <c r="D8" s="2" t="s">
        <v>394</v>
      </c>
      <c r="E8" s="3" t="s">
        <v>408</v>
      </c>
      <c r="F8" s="3" t="s">
        <v>409</v>
      </c>
      <c r="G8" s="3" t="s">
        <v>410</v>
      </c>
      <c r="H8" s="88" t="s">
        <v>411</v>
      </c>
    </row>
    <row r="9">
      <c r="A9" s="56">
        <v>6.0</v>
      </c>
      <c r="B9" s="86" t="s">
        <v>225</v>
      </c>
      <c r="C9" s="3" t="s">
        <v>412</v>
      </c>
      <c r="D9" s="2" t="s">
        <v>394</v>
      </c>
      <c r="E9" s="3" t="s">
        <v>413</v>
      </c>
      <c r="F9" s="3" t="s">
        <v>414</v>
      </c>
      <c r="G9" s="42"/>
      <c r="H9" s="42"/>
    </row>
    <row r="10">
      <c r="A10" s="48">
        <v>7.0</v>
      </c>
      <c r="B10" s="86" t="s">
        <v>231</v>
      </c>
      <c r="C10" s="3" t="s">
        <v>412</v>
      </c>
      <c r="D10" s="2" t="s">
        <v>394</v>
      </c>
      <c r="E10" s="3" t="s">
        <v>413</v>
      </c>
      <c r="F10" s="3" t="s">
        <v>414</v>
      </c>
      <c r="G10" s="42"/>
      <c r="H10" s="42"/>
    </row>
    <row r="11">
      <c r="A11" s="56">
        <v>8.0</v>
      </c>
      <c r="B11" s="86" t="s">
        <v>150</v>
      </c>
      <c r="C11" s="3" t="s">
        <v>415</v>
      </c>
      <c r="D11" s="2" t="s">
        <v>394</v>
      </c>
      <c r="E11" s="3" t="s">
        <v>416</v>
      </c>
      <c r="F11" s="3" t="s">
        <v>417</v>
      </c>
      <c r="G11" s="3" t="s">
        <v>418</v>
      </c>
      <c r="H11" s="3" t="s">
        <v>419</v>
      </c>
    </row>
    <row r="12">
      <c r="A12" s="56">
        <v>9.0</v>
      </c>
      <c r="B12" s="86" t="s">
        <v>238</v>
      </c>
      <c r="C12" s="3" t="s">
        <v>420</v>
      </c>
      <c r="D12" s="2" t="s">
        <v>394</v>
      </c>
      <c r="E12" s="3" t="s">
        <v>413</v>
      </c>
      <c r="F12" s="3" t="s">
        <v>421</v>
      </c>
      <c r="G12" s="3" t="s">
        <v>422</v>
      </c>
      <c r="H12" s="3" t="s">
        <v>419</v>
      </c>
    </row>
    <row r="13">
      <c r="A13" s="48">
        <v>10.0</v>
      </c>
      <c r="B13" s="86" t="s">
        <v>243</v>
      </c>
      <c r="C13" s="3" t="s">
        <v>420</v>
      </c>
      <c r="D13" s="2" t="s">
        <v>394</v>
      </c>
      <c r="E13" s="3" t="s">
        <v>413</v>
      </c>
      <c r="F13" s="3" t="s">
        <v>423</v>
      </c>
      <c r="G13" s="42"/>
      <c r="H13" s="42"/>
    </row>
    <row r="14">
      <c r="A14" s="56">
        <v>11.0</v>
      </c>
      <c r="B14" s="86" t="s">
        <v>248</v>
      </c>
      <c r="C14" s="3" t="s">
        <v>420</v>
      </c>
      <c r="D14" s="2" t="s">
        <v>394</v>
      </c>
      <c r="E14" s="3" t="s">
        <v>413</v>
      </c>
      <c r="F14" s="3" t="s">
        <v>423</v>
      </c>
      <c r="G14" s="42"/>
      <c r="H14" s="42"/>
    </row>
    <row r="15">
      <c r="A15" s="56">
        <v>12.0</v>
      </c>
      <c r="B15" s="86" t="s">
        <v>255</v>
      </c>
      <c r="C15" s="3" t="s">
        <v>424</v>
      </c>
      <c r="D15" s="2" t="s">
        <v>394</v>
      </c>
      <c r="E15" s="3" t="s">
        <v>425</v>
      </c>
      <c r="F15" s="3" t="s">
        <v>426</v>
      </c>
      <c r="G15" s="42"/>
      <c r="H15" s="42"/>
    </row>
    <row r="16">
      <c r="A16" s="48">
        <v>13.0</v>
      </c>
      <c r="B16" s="86" t="s">
        <v>259</v>
      </c>
      <c r="C16" s="3" t="s">
        <v>427</v>
      </c>
      <c r="D16" s="2" t="s">
        <v>394</v>
      </c>
      <c r="E16" s="3" t="s">
        <v>428</v>
      </c>
      <c r="F16" s="3" t="s">
        <v>426</v>
      </c>
      <c r="G16" s="42"/>
      <c r="H16" s="42"/>
    </row>
    <row r="17">
      <c r="A17" s="56">
        <v>14.0</v>
      </c>
      <c r="B17" s="86" t="s">
        <v>263</v>
      </c>
      <c r="C17" s="3" t="s">
        <v>429</v>
      </c>
      <c r="D17" s="3" t="s">
        <v>394</v>
      </c>
      <c r="E17" s="3" t="s">
        <v>430</v>
      </c>
      <c r="F17" s="3" t="s">
        <v>431</v>
      </c>
      <c r="G17" s="42"/>
      <c r="H17" s="4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2:E2"/>
  </mergeCell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8"/>
    <col customWidth="1" min="2" max="2" width="8.75"/>
    <col customWidth="1" min="3" max="3" width="20.5"/>
    <col customWidth="1" min="4" max="4" width="29.5"/>
    <col customWidth="1" min="5" max="5" width="29.63"/>
    <col customWidth="1" min="6" max="6" width="62.5"/>
    <col customWidth="1" min="7" max="7" width="7.75"/>
    <col customWidth="1" min="8" max="8" width="63.38"/>
    <col customWidth="1" min="9" max="9" width="19.13"/>
    <col customWidth="1" min="10" max="10" width="23.13"/>
    <col customWidth="1" min="11" max="11" width="13.5"/>
    <col customWidth="1" min="12" max="12" width="9.38"/>
    <col customWidth="1" min="13" max="13" width="71.5"/>
    <col customWidth="1" min="14" max="14" width="20.75"/>
    <col customWidth="1" min="15" max="15" width="9.38"/>
    <col customWidth="1" min="16" max="16" width="20.5"/>
    <col customWidth="1" min="17" max="17" width="62.5"/>
    <col customWidth="1" min="18" max="18" width="11.75"/>
    <col customWidth="1" min="19" max="19" width="10.75"/>
    <col customWidth="1" min="20" max="20" width="18.38"/>
    <col customWidth="1" min="21" max="22" width="19.63"/>
    <col customWidth="1" min="23" max="23" width="2.75"/>
    <col customWidth="1" min="24" max="24" width="60.75"/>
    <col customWidth="1" min="25" max="25" width="19.63"/>
    <col customWidth="1" min="26" max="31" width="9.38"/>
  </cols>
  <sheetData>
    <row r="1">
      <c r="A1" s="39" t="s">
        <v>156</v>
      </c>
      <c r="B1" s="39" t="s">
        <v>157</v>
      </c>
      <c r="C1" s="39" t="s">
        <v>158</v>
      </c>
      <c r="D1" s="39" t="s">
        <v>159</v>
      </c>
      <c r="E1" s="39" t="s">
        <v>160</v>
      </c>
      <c r="F1" s="39" t="s">
        <v>161</v>
      </c>
      <c r="G1" s="39" t="s">
        <v>162</v>
      </c>
      <c r="H1" s="39" t="s">
        <v>163</v>
      </c>
      <c r="I1" s="39" t="s">
        <v>164</v>
      </c>
      <c r="J1" s="39" t="s">
        <v>165</v>
      </c>
      <c r="K1" s="39" t="s">
        <v>166</v>
      </c>
      <c r="M1" s="40" t="s">
        <v>167</v>
      </c>
      <c r="P1" s="41" t="s">
        <v>168</v>
      </c>
      <c r="X1" s="41" t="s">
        <v>169</v>
      </c>
    </row>
    <row r="2">
      <c r="A2" s="42">
        <v>2019.0</v>
      </c>
      <c r="B2" s="42" t="s">
        <v>170</v>
      </c>
      <c r="C2" s="42" t="s">
        <v>51</v>
      </c>
      <c r="D2" s="42" t="s">
        <v>171</v>
      </c>
      <c r="E2" s="42" t="s">
        <v>172</v>
      </c>
      <c r="F2" s="42" t="s">
        <v>173</v>
      </c>
      <c r="G2" s="42" t="s">
        <v>174</v>
      </c>
      <c r="H2" s="42" t="s">
        <v>175</v>
      </c>
      <c r="I2" s="39"/>
      <c r="J2" s="42"/>
      <c r="K2" s="42">
        <v>4.0E7</v>
      </c>
      <c r="P2" s="39" t="s">
        <v>138</v>
      </c>
      <c r="Q2" s="39" t="s">
        <v>161</v>
      </c>
      <c r="R2" s="39" t="s">
        <v>162</v>
      </c>
      <c r="S2" s="39" t="s">
        <v>177</v>
      </c>
      <c r="T2" s="39" t="s">
        <v>178</v>
      </c>
      <c r="U2" s="39" t="s">
        <v>179</v>
      </c>
      <c r="V2" s="41"/>
      <c r="W2" s="39" t="s">
        <v>22</v>
      </c>
      <c r="X2" s="45" t="s">
        <v>180</v>
      </c>
      <c r="Y2" s="46" t="s">
        <v>162</v>
      </c>
      <c r="Z2" s="39" t="s">
        <v>177</v>
      </c>
    </row>
    <row r="3">
      <c r="A3" s="42">
        <v>2019.0</v>
      </c>
      <c r="B3" s="42" t="s">
        <v>170</v>
      </c>
      <c r="C3" s="42" t="s">
        <v>46</v>
      </c>
      <c r="D3" s="42" t="s">
        <v>181</v>
      </c>
      <c r="E3" s="42" t="s">
        <v>182</v>
      </c>
      <c r="F3" s="42" t="s">
        <v>183</v>
      </c>
      <c r="G3" s="42" t="s">
        <v>184</v>
      </c>
      <c r="H3" s="42" t="s">
        <v>185</v>
      </c>
      <c r="I3" s="39"/>
      <c r="J3" s="42"/>
      <c r="K3" s="42">
        <f>1.7*POWER(10,6)</f>
        <v>1700000</v>
      </c>
      <c r="P3" s="40"/>
      <c r="Q3" s="41" t="s">
        <v>186</v>
      </c>
      <c r="R3" s="41"/>
      <c r="S3" s="41"/>
      <c r="T3" s="41"/>
      <c r="U3" s="47"/>
      <c r="W3" s="67">
        <v>1.0</v>
      </c>
      <c r="X3" s="89" t="s">
        <v>188</v>
      </c>
      <c r="Y3" s="89" t="str">
        <f t="shared" ref="Y3:Z3" si="1">+T4</f>
        <v>millones de m3/año</v>
      </c>
      <c r="Z3" s="89">
        <f t="shared" si="1"/>
        <v>180</v>
      </c>
    </row>
    <row r="4">
      <c r="A4" s="42">
        <v>2019.0</v>
      </c>
      <c r="B4" s="42" t="s">
        <v>170</v>
      </c>
      <c r="C4" s="42" t="s">
        <v>51</v>
      </c>
      <c r="D4" s="42" t="s">
        <v>189</v>
      </c>
      <c r="E4" s="42" t="s">
        <v>190</v>
      </c>
      <c r="F4" s="42" t="s">
        <v>191</v>
      </c>
      <c r="G4" s="42" t="s">
        <v>174</v>
      </c>
      <c r="H4" s="90" t="s">
        <v>432</v>
      </c>
      <c r="I4" s="39"/>
      <c r="J4" s="42"/>
      <c r="K4" s="91">
        <f>18750*POWER(10,6)*0.95</f>
        <v>17812500000</v>
      </c>
      <c r="P4" s="52" t="s">
        <v>64</v>
      </c>
      <c r="Q4" s="53" t="s">
        <v>194</v>
      </c>
      <c r="R4" s="53" t="s">
        <v>174</v>
      </c>
      <c r="S4" s="92">
        <v>1.8E8</v>
      </c>
      <c r="T4" s="53" t="s">
        <v>195</v>
      </c>
      <c r="U4" s="54">
        <f t="shared" ref="U4:U11" si="3">+S4/1000000</f>
        <v>180</v>
      </c>
      <c r="V4" s="55"/>
      <c r="W4" s="93">
        <v>2.0</v>
      </c>
      <c r="X4" s="67" t="s">
        <v>196</v>
      </c>
      <c r="Y4" s="89" t="str">
        <f t="shared" ref="Y4:Z4" si="2">+T5</f>
        <v>millones de m3/año</v>
      </c>
      <c r="Z4" s="89">
        <f t="shared" si="2"/>
        <v>360</v>
      </c>
    </row>
    <row r="5">
      <c r="A5" s="42">
        <v>2019.0</v>
      </c>
      <c r="B5" s="42" t="s">
        <v>170</v>
      </c>
      <c r="C5" s="42" t="s">
        <v>46</v>
      </c>
      <c r="D5" s="42" t="s">
        <v>197</v>
      </c>
      <c r="E5" s="42" t="s">
        <v>198</v>
      </c>
      <c r="F5" s="42" t="s">
        <v>199</v>
      </c>
      <c r="G5" s="42" t="s">
        <v>200</v>
      </c>
      <c r="H5" s="42" t="s">
        <v>201</v>
      </c>
      <c r="I5" s="39"/>
      <c r="J5" s="39"/>
      <c r="K5" s="42">
        <f>1.56*POWER(10,6)</f>
        <v>1560000</v>
      </c>
      <c r="P5" s="52" t="s">
        <v>64</v>
      </c>
      <c r="Q5" s="53" t="s">
        <v>203</v>
      </c>
      <c r="R5" s="53" t="s">
        <v>174</v>
      </c>
      <c r="S5" s="94">
        <v>3.6E8</v>
      </c>
      <c r="T5" s="53" t="s">
        <v>195</v>
      </c>
      <c r="U5" s="54">
        <f t="shared" si="3"/>
        <v>360</v>
      </c>
      <c r="V5" s="55"/>
      <c r="W5" s="93">
        <v>3.0</v>
      </c>
      <c r="X5" s="89" t="s">
        <v>204</v>
      </c>
      <c r="Y5" s="89" t="str">
        <f t="shared" ref="Y5:Y7" si="4">+T6</f>
        <v>millones de m3/año</v>
      </c>
      <c r="Z5" s="89">
        <f>+U6+U7+U8+U10</f>
        <v>23.237298</v>
      </c>
    </row>
    <row r="6">
      <c r="A6" s="42">
        <v>2019.0</v>
      </c>
      <c r="B6" s="42" t="s">
        <v>170</v>
      </c>
      <c r="C6" s="42" t="s">
        <v>93</v>
      </c>
      <c r="D6" s="42" t="s">
        <v>205</v>
      </c>
      <c r="E6" s="42" t="s">
        <v>206</v>
      </c>
      <c r="F6" s="42" t="s">
        <v>207</v>
      </c>
      <c r="G6" s="42" t="s">
        <v>208</v>
      </c>
      <c r="H6" s="91" t="s">
        <v>433</v>
      </c>
      <c r="I6" s="39"/>
      <c r="J6" s="39"/>
      <c r="K6" s="90"/>
      <c r="P6" s="52" t="s">
        <v>64</v>
      </c>
      <c r="Q6" s="53" t="s">
        <v>211</v>
      </c>
      <c r="R6" s="53" t="s">
        <v>174</v>
      </c>
      <c r="S6" s="92">
        <v>2.16E7</v>
      </c>
      <c r="T6" s="53" t="s">
        <v>195</v>
      </c>
      <c r="U6" s="54">
        <f t="shared" si="3"/>
        <v>21.6</v>
      </c>
      <c r="V6" s="55"/>
      <c r="W6" s="67">
        <v>4.0</v>
      </c>
      <c r="X6" s="89" t="s">
        <v>212</v>
      </c>
      <c r="Y6" s="89" t="str">
        <f t="shared" si="4"/>
        <v>millones de m3/año</v>
      </c>
      <c r="Z6" s="89">
        <f>+U9</f>
        <v>0.07425</v>
      </c>
    </row>
    <row r="7">
      <c r="A7" s="42">
        <v>2019.0</v>
      </c>
      <c r="B7" s="42" t="s">
        <v>170</v>
      </c>
      <c r="C7" s="42" t="s">
        <v>93</v>
      </c>
      <c r="D7" s="42" t="s">
        <v>213</v>
      </c>
      <c r="E7" s="42" t="s">
        <v>214</v>
      </c>
      <c r="F7" s="42" t="s">
        <v>215</v>
      </c>
      <c r="G7" s="42" t="s">
        <v>208</v>
      </c>
      <c r="H7" s="91" t="s">
        <v>433</v>
      </c>
      <c r="I7" s="39"/>
      <c r="J7" s="39"/>
      <c r="K7" s="90"/>
      <c r="P7" s="52" t="s">
        <v>64</v>
      </c>
      <c r="Q7" s="53" t="s">
        <v>193</v>
      </c>
      <c r="R7" s="53" t="s">
        <v>174</v>
      </c>
      <c r="S7" s="92">
        <v>712800.0</v>
      </c>
      <c r="T7" s="53" t="s">
        <v>195</v>
      </c>
      <c r="U7" s="54">
        <f t="shared" si="3"/>
        <v>0.7128</v>
      </c>
      <c r="V7" s="55"/>
      <c r="W7" s="93">
        <v>5.0</v>
      </c>
      <c r="X7" s="89" t="s">
        <v>218</v>
      </c>
      <c r="Y7" s="89" t="str">
        <f t="shared" si="4"/>
        <v>millones de m3/año</v>
      </c>
      <c r="Z7" s="89">
        <f t="shared" ref="Z7:Z11" si="5">+U11</f>
        <v>110.376</v>
      </c>
    </row>
    <row r="8">
      <c r="A8" s="42">
        <v>2019.0</v>
      </c>
      <c r="B8" s="42" t="s">
        <v>170</v>
      </c>
      <c r="C8" s="42" t="s">
        <v>46</v>
      </c>
      <c r="D8" s="42" t="s">
        <v>219</v>
      </c>
      <c r="E8" s="42" t="s">
        <v>220</v>
      </c>
      <c r="F8" s="42" t="s">
        <v>221</v>
      </c>
      <c r="G8" s="42" t="s">
        <v>208</v>
      </c>
      <c r="H8" s="42" t="s">
        <v>222</v>
      </c>
      <c r="I8" s="39"/>
      <c r="J8" s="39"/>
      <c r="K8" s="42">
        <v>1.95E7</v>
      </c>
      <c r="P8" s="52" t="s">
        <v>64</v>
      </c>
      <c r="Q8" s="53" t="s">
        <v>224</v>
      </c>
      <c r="R8" s="53" t="s">
        <v>174</v>
      </c>
      <c r="S8" s="92">
        <v>53460.000000000015</v>
      </c>
      <c r="T8" s="53" t="s">
        <v>195</v>
      </c>
      <c r="U8" s="54">
        <f t="shared" si="3"/>
        <v>0.05346</v>
      </c>
      <c r="V8" s="55"/>
      <c r="W8" s="93">
        <v>6.0</v>
      </c>
      <c r="X8" s="89" t="s">
        <v>225</v>
      </c>
      <c r="Y8" s="89" t="s">
        <v>226</v>
      </c>
      <c r="Z8" s="89">
        <f t="shared" si="5"/>
        <v>0.0432</v>
      </c>
    </row>
    <row r="9">
      <c r="A9" s="42">
        <v>2019.0</v>
      </c>
      <c r="B9" s="42" t="s">
        <v>186</v>
      </c>
      <c r="C9" s="42" t="s">
        <v>69</v>
      </c>
      <c r="D9" s="42" t="s">
        <v>227</v>
      </c>
      <c r="E9" s="42" t="s">
        <v>172</v>
      </c>
      <c r="F9" s="42" t="s">
        <v>211</v>
      </c>
      <c r="G9" s="42" t="s">
        <v>174</v>
      </c>
      <c r="H9" s="90" t="s">
        <v>434</v>
      </c>
      <c r="I9" s="42">
        <v>80000.0</v>
      </c>
      <c r="J9" s="90">
        <f>25*(1-0.1)</f>
        <v>22.5</v>
      </c>
      <c r="K9" s="42">
        <f t="shared" ref="K9:K13" si="6">+J9*I9*12</f>
        <v>21600000</v>
      </c>
      <c r="P9" s="52" t="s">
        <v>64</v>
      </c>
      <c r="Q9" s="53" t="s">
        <v>230</v>
      </c>
      <c r="R9" s="53" t="s">
        <v>174</v>
      </c>
      <c r="S9" s="92">
        <v>74250.00000000001</v>
      </c>
      <c r="T9" s="53" t="s">
        <v>195</v>
      </c>
      <c r="U9" s="54">
        <f t="shared" si="3"/>
        <v>0.07425</v>
      </c>
      <c r="V9" s="55"/>
      <c r="W9" s="67">
        <v>7.0</v>
      </c>
      <c r="X9" s="89" t="s">
        <v>231</v>
      </c>
      <c r="Y9" s="89" t="s">
        <v>226</v>
      </c>
      <c r="Z9" s="89">
        <f t="shared" si="5"/>
        <v>0.05400432</v>
      </c>
    </row>
    <row r="10">
      <c r="A10" s="42">
        <v>2019.0</v>
      </c>
      <c r="B10" s="42" t="s">
        <v>186</v>
      </c>
      <c r="C10" s="42" t="s">
        <v>69</v>
      </c>
      <c r="D10" s="42" t="s">
        <v>227</v>
      </c>
      <c r="E10" s="42" t="s">
        <v>172</v>
      </c>
      <c r="F10" s="42" t="s">
        <v>193</v>
      </c>
      <c r="G10" s="42" t="s">
        <v>174</v>
      </c>
      <c r="H10" s="42" t="s">
        <v>435</v>
      </c>
      <c r="I10" s="90">
        <f>2000*1.1</f>
        <v>2200</v>
      </c>
      <c r="J10" s="51">
        <f>30*(1-0.1)</f>
        <v>27</v>
      </c>
      <c r="K10" s="90">
        <f t="shared" si="6"/>
        <v>712800</v>
      </c>
      <c r="P10" s="52" t="s">
        <v>64</v>
      </c>
      <c r="Q10" s="53" t="s">
        <v>234</v>
      </c>
      <c r="R10" s="53" t="s">
        <v>174</v>
      </c>
      <c r="S10" s="92">
        <v>871038.0</v>
      </c>
      <c r="T10" s="53" t="s">
        <v>195</v>
      </c>
      <c r="U10" s="54">
        <f t="shared" si="3"/>
        <v>0.871038</v>
      </c>
      <c r="V10" s="55"/>
      <c r="W10" s="93">
        <v>8.0</v>
      </c>
      <c r="X10" s="89" t="s">
        <v>150</v>
      </c>
      <c r="Y10" s="89" t="s">
        <v>226</v>
      </c>
      <c r="Z10" s="89">
        <f t="shared" si="5"/>
        <v>8.175148687</v>
      </c>
    </row>
    <row r="11">
      <c r="A11" s="42">
        <v>2019.0</v>
      </c>
      <c r="B11" s="42" t="s">
        <v>186</v>
      </c>
      <c r="C11" s="42" t="s">
        <v>69</v>
      </c>
      <c r="D11" s="42" t="s">
        <v>227</v>
      </c>
      <c r="E11" s="42" t="s">
        <v>172</v>
      </c>
      <c r="F11" s="42" t="s">
        <v>224</v>
      </c>
      <c r="G11" s="42" t="s">
        <v>174</v>
      </c>
      <c r="H11" s="42" t="s">
        <v>436</v>
      </c>
      <c r="I11" s="90">
        <f>100*1.1</f>
        <v>110</v>
      </c>
      <c r="J11" s="51">
        <f>45*(1-0.1)</f>
        <v>40.5</v>
      </c>
      <c r="K11" s="90">
        <f t="shared" si="6"/>
        <v>53460</v>
      </c>
      <c r="P11" s="52" t="s">
        <v>237</v>
      </c>
      <c r="Q11" s="53" t="s">
        <v>187</v>
      </c>
      <c r="R11" s="53" t="s">
        <v>174</v>
      </c>
      <c r="S11" s="53">
        <v>1.10376E8</v>
      </c>
      <c r="T11" s="53" t="s">
        <v>195</v>
      </c>
      <c r="U11" s="54">
        <f t="shared" si="3"/>
        <v>110.376</v>
      </c>
      <c r="V11" s="55"/>
      <c r="W11" s="93">
        <v>9.0</v>
      </c>
      <c r="X11" s="89" t="s">
        <v>238</v>
      </c>
      <c r="Y11" s="89" t="s">
        <v>226</v>
      </c>
      <c r="Z11" s="89">
        <f t="shared" si="5"/>
        <v>6.494896936</v>
      </c>
    </row>
    <row r="12">
      <c r="A12" s="42">
        <v>2019.0</v>
      </c>
      <c r="B12" s="42" t="s">
        <v>186</v>
      </c>
      <c r="C12" s="42" t="s">
        <v>69</v>
      </c>
      <c r="D12" s="42" t="s">
        <v>227</v>
      </c>
      <c r="E12" s="42" t="s">
        <v>172</v>
      </c>
      <c r="F12" s="42" t="s">
        <v>230</v>
      </c>
      <c r="G12" s="42" t="s">
        <v>174</v>
      </c>
      <c r="H12" s="42" t="s">
        <v>437</v>
      </c>
      <c r="I12" s="90">
        <f>50*1.1</f>
        <v>55</v>
      </c>
      <c r="J12" s="51">
        <f>125*(1-0.1)</f>
        <v>112.5</v>
      </c>
      <c r="K12" s="90">
        <f t="shared" si="6"/>
        <v>74250</v>
      </c>
      <c r="P12" s="52" t="s">
        <v>241</v>
      </c>
      <c r="Q12" s="53" t="s">
        <v>242</v>
      </c>
      <c r="R12" s="53" t="s">
        <v>184</v>
      </c>
      <c r="S12" s="53">
        <v>12000.0</v>
      </c>
      <c r="T12" s="53" t="s">
        <v>226</v>
      </c>
      <c r="U12" s="54">
        <f>+S12*3600000/POWER(10,12)</f>
        <v>0.0432</v>
      </c>
      <c r="V12" s="55"/>
      <c r="W12" s="67">
        <v>10.0</v>
      </c>
      <c r="X12" s="89" t="s">
        <v>243</v>
      </c>
      <c r="Y12" s="89" t="s">
        <v>226</v>
      </c>
      <c r="Z12" s="89">
        <f>+U16+U17</f>
        <v>161.7861076</v>
      </c>
    </row>
    <row r="13">
      <c r="A13" s="42">
        <v>2019.0</v>
      </c>
      <c r="B13" s="42" t="s">
        <v>186</v>
      </c>
      <c r="C13" s="42" t="s">
        <v>69</v>
      </c>
      <c r="D13" s="42" t="s">
        <v>244</v>
      </c>
      <c r="E13" s="42" t="s">
        <v>172</v>
      </c>
      <c r="F13" s="42" t="s">
        <v>234</v>
      </c>
      <c r="G13" s="42" t="s">
        <v>174</v>
      </c>
      <c r="H13" s="90" t="s">
        <v>438</v>
      </c>
      <c r="I13" s="51">
        <v>4683.0</v>
      </c>
      <c r="J13" s="42">
        <v>15.5</v>
      </c>
      <c r="K13" s="90">
        <f t="shared" si="6"/>
        <v>871038</v>
      </c>
      <c r="P13" s="52" t="s">
        <v>241</v>
      </c>
      <c r="Q13" s="53" t="s">
        <v>247</v>
      </c>
      <c r="R13" s="53" t="s">
        <v>208</v>
      </c>
      <c r="S13" s="53">
        <v>360.0</v>
      </c>
      <c r="T13" s="53" t="s">
        <v>226</v>
      </c>
      <c r="U13" s="54">
        <f>+S13*3600000*41.67/POWER(10,12)</f>
        <v>0.05400432</v>
      </c>
      <c r="V13" s="55"/>
      <c r="W13" s="93">
        <v>11.0</v>
      </c>
      <c r="X13" s="89" t="s">
        <v>248</v>
      </c>
      <c r="Y13" s="89" t="s">
        <v>226</v>
      </c>
      <c r="Z13" s="89">
        <f>+U18+U20+U19</f>
        <v>1116.157549</v>
      </c>
    </row>
    <row r="14">
      <c r="A14" s="42">
        <v>2019.0</v>
      </c>
      <c r="B14" s="42" t="s">
        <v>186</v>
      </c>
      <c r="C14" s="42" t="s">
        <v>69</v>
      </c>
      <c r="D14" s="42" t="s">
        <v>249</v>
      </c>
      <c r="E14" s="42" t="s">
        <v>250</v>
      </c>
      <c r="F14" s="42" t="s">
        <v>194</v>
      </c>
      <c r="G14" s="42" t="s">
        <v>174</v>
      </c>
      <c r="H14" s="90" t="s">
        <v>439</v>
      </c>
      <c r="I14" s="42">
        <f>400*100</f>
        <v>40000</v>
      </c>
      <c r="J14" s="42">
        <v>4500.0</v>
      </c>
      <c r="K14" s="42">
        <f t="shared" ref="K14:K15" si="8">+J14*I14</f>
        <v>180000000</v>
      </c>
      <c r="P14" s="52" t="s">
        <v>253</v>
      </c>
      <c r="Q14" s="53" t="s">
        <v>254</v>
      </c>
      <c r="R14" s="53" t="s">
        <v>184</v>
      </c>
      <c r="S14" s="42">
        <v>2270874.635258754</v>
      </c>
      <c r="T14" s="53" t="s">
        <v>226</v>
      </c>
      <c r="U14" s="54">
        <f t="shared" ref="U14:U15" si="9">+S14*3600000/POWER(10,12)</f>
        <v>8.175148687</v>
      </c>
      <c r="V14" s="55"/>
      <c r="W14" s="93">
        <v>12.0</v>
      </c>
      <c r="X14" s="89" t="s">
        <v>255</v>
      </c>
      <c r="Y14" s="89" t="str">
        <f t="shared" ref="Y14:Z14" si="7">+T21</f>
        <v>TJ</v>
      </c>
      <c r="Z14" s="89">
        <f t="shared" si="7"/>
        <v>33.24242217</v>
      </c>
    </row>
    <row r="15">
      <c r="A15" s="42">
        <v>2019.0</v>
      </c>
      <c r="B15" s="42" t="s">
        <v>186</v>
      </c>
      <c r="C15" s="42" t="s">
        <v>69</v>
      </c>
      <c r="D15" s="42" t="s">
        <v>256</v>
      </c>
      <c r="E15" s="42" t="s">
        <v>250</v>
      </c>
      <c r="F15" s="42" t="s">
        <v>203</v>
      </c>
      <c r="G15" s="42" t="s">
        <v>174</v>
      </c>
      <c r="H15" s="90" t="s">
        <v>440</v>
      </c>
      <c r="I15" s="42">
        <f>600*100</f>
        <v>60000</v>
      </c>
      <c r="J15" s="42">
        <v>6000.0</v>
      </c>
      <c r="K15" s="42">
        <f t="shared" si="8"/>
        <v>360000000</v>
      </c>
      <c r="P15" s="52" t="s">
        <v>253</v>
      </c>
      <c r="Q15" s="53" t="s">
        <v>258</v>
      </c>
      <c r="R15" s="53" t="s">
        <v>184</v>
      </c>
      <c r="S15" s="42">
        <v>1804138.0378396602</v>
      </c>
      <c r="T15" s="53" t="s">
        <v>226</v>
      </c>
      <c r="U15" s="54">
        <f t="shared" si="9"/>
        <v>6.494896936</v>
      </c>
      <c r="V15" s="55"/>
      <c r="W15" s="67">
        <v>13.0</v>
      </c>
      <c r="X15" s="89" t="s">
        <v>259</v>
      </c>
      <c r="Y15" s="89" t="s">
        <v>226</v>
      </c>
      <c r="Z15" s="89">
        <f t="shared" ref="Z15:Z16" si="10">+U52</f>
        <v>386.6129954</v>
      </c>
    </row>
    <row r="16">
      <c r="A16" s="42">
        <v>2019.0</v>
      </c>
      <c r="B16" s="42" t="s">
        <v>186</v>
      </c>
      <c r="C16" s="42" t="s">
        <v>86</v>
      </c>
      <c r="D16" s="42" t="s">
        <v>171</v>
      </c>
      <c r="E16" s="42" t="s">
        <v>182</v>
      </c>
      <c r="F16" s="42" t="s">
        <v>187</v>
      </c>
      <c r="G16" s="42" t="s">
        <v>174</v>
      </c>
      <c r="H16" s="42" t="s">
        <v>260</v>
      </c>
      <c r="I16" s="42"/>
      <c r="J16" s="42">
        <v>3.5</v>
      </c>
      <c r="K16" s="42">
        <f>+J16*3600*24*365</f>
        <v>110376000</v>
      </c>
      <c r="P16" s="52" t="s">
        <v>253</v>
      </c>
      <c r="Q16" s="53" t="s">
        <v>262</v>
      </c>
      <c r="R16" s="53" t="s">
        <v>208</v>
      </c>
      <c r="S16" s="42">
        <v>1503557.0000000002</v>
      </c>
      <c r="T16" s="53" t="s">
        <v>226</v>
      </c>
      <c r="U16" s="54">
        <f t="shared" ref="U16:U17" si="11">91600*1055.056*S16/POWER(10,12)</f>
        <v>145.308454</v>
      </c>
      <c r="V16" s="55"/>
      <c r="W16" s="93">
        <v>14.0</v>
      </c>
      <c r="X16" s="89" t="s">
        <v>263</v>
      </c>
      <c r="Y16" s="89" t="s">
        <v>226</v>
      </c>
      <c r="Z16" s="89">
        <f t="shared" si="10"/>
        <v>7430.056914</v>
      </c>
    </row>
    <row r="17">
      <c r="A17" s="42">
        <v>2019.0</v>
      </c>
      <c r="B17" s="42" t="s">
        <v>186</v>
      </c>
      <c r="C17" s="42" t="s">
        <v>144</v>
      </c>
      <c r="D17" s="42" t="s">
        <v>227</v>
      </c>
      <c r="E17" s="42" t="s">
        <v>264</v>
      </c>
      <c r="F17" s="42" t="s">
        <v>254</v>
      </c>
      <c r="G17" s="42" t="s">
        <v>184</v>
      </c>
      <c r="H17" s="90" t="s">
        <v>441</v>
      </c>
      <c r="I17" s="42"/>
      <c r="J17" s="42"/>
      <c r="K17" s="90">
        <f>+POWER(1+0.1364,2025-2019)*1054401</f>
        <v>2270874.635</v>
      </c>
      <c r="P17" s="52" t="s">
        <v>253</v>
      </c>
      <c r="Q17" s="53" t="s">
        <v>267</v>
      </c>
      <c r="R17" s="53" t="s">
        <v>208</v>
      </c>
      <c r="S17" s="42">
        <v>170500.0</v>
      </c>
      <c r="T17" s="53" t="s">
        <v>226</v>
      </c>
      <c r="U17" s="54">
        <f t="shared" si="11"/>
        <v>16.4776536</v>
      </c>
      <c r="V17" s="55"/>
      <c r="W17" s="55"/>
      <c r="X17" s="58"/>
    </row>
    <row r="18">
      <c r="A18" s="42">
        <v>2019.0</v>
      </c>
      <c r="B18" s="42" t="s">
        <v>186</v>
      </c>
      <c r="C18" s="42" t="s">
        <v>144</v>
      </c>
      <c r="D18" s="42" t="s">
        <v>227</v>
      </c>
      <c r="E18" s="42" t="s">
        <v>264</v>
      </c>
      <c r="F18" s="42" t="s">
        <v>258</v>
      </c>
      <c r="G18" s="42" t="s">
        <v>184</v>
      </c>
      <c r="H18" s="90" t="s">
        <v>442</v>
      </c>
      <c r="I18" s="42"/>
      <c r="J18" s="42"/>
      <c r="K18" s="90">
        <f>+POWER(1+0.2987,2025-2019)*376025</f>
        <v>1804138.038</v>
      </c>
      <c r="P18" s="52" t="s">
        <v>253</v>
      </c>
      <c r="Q18" s="53" t="s">
        <v>270</v>
      </c>
      <c r="R18" s="53" t="s">
        <v>200</v>
      </c>
      <c r="S18" s="42">
        <v>40417.545</v>
      </c>
      <c r="T18" s="53" t="s">
        <v>226</v>
      </c>
      <c r="U18" s="54">
        <f>2.205*3500*1055.056*S18/(POWER(10,6)*1000)</f>
        <v>329.0956034</v>
      </c>
      <c r="V18" s="55"/>
      <c r="W18" s="55"/>
      <c r="X18" s="55"/>
      <c r="Y18" s="55"/>
    </row>
    <row r="19">
      <c r="A19" s="42">
        <v>2019.0</v>
      </c>
      <c r="B19" s="42" t="s">
        <v>186</v>
      </c>
      <c r="C19" s="42" t="s">
        <v>271</v>
      </c>
      <c r="D19" s="42" t="s">
        <v>227</v>
      </c>
      <c r="E19" s="42" t="s">
        <v>264</v>
      </c>
      <c r="F19" s="42" t="s">
        <v>242</v>
      </c>
      <c r="G19" s="42" t="s">
        <v>184</v>
      </c>
      <c r="H19" s="42" t="s">
        <v>272</v>
      </c>
      <c r="I19" s="42"/>
      <c r="J19" s="42">
        <v>1000.0</v>
      </c>
      <c r="K19" s="42">
        <f t="shared" ref="K19:K20" si="12">+J19*12</f>
        <v>12000</v>
      </c>
      <c r="P19" s="52" t="s">
        <v>253</v>
      </c>
      <c r="Q19" s="53" t="s">
        <v>274</v>
      </c>
      <c r="R19" s="53" t="s">
        <v>200</v>
      </c>
      <c r="S19" s="42">
        <v>20208.7725</v>
      </c>
      <c r="T19" s="53" t="s">
        <v>226</v>
      </c>
      <c r="U19" s="54">
        <f>2.205*12000*1055.056*S19/(POWER(10,6)*1000)</f>
        <v>564.1638915</v>
      </c>
      <c r="V19" s="55"/>
      <c r="W19" s="55"/>
      <c r="Y19" s="55"/>
    </row>
    <row r="20">
      <c r="A20" s="42">
        <v>2020.0</v>
      </c>
      <c r="B20" s="42" t="s">
        <v>186</v>
      </c>
      <c r="C20" s="42" t="s">
        <v>271</v>
      </c>
      <c r="D20" s="42" t="s">
        <v>219</v>
      </c>
      <c r="E20" s="42" t="s">
        <v>220</v>
      </c>
      <c r="F20" s="42" t="s">
        <v>247</v>
      </c>
      <c r="G20" s="42" t="s">
        <v>208</v>
      </c>
      <c r="H20" s="42" t="s">
        <v>275</v>
      </c>
      <c r="I20" s="42"/>
      <c r="J20" s="42">
        <v>30.0</v>
      </c>
      <c r="K20" s="42">
        <f t="shared" si="12"/>
        <v>360</v>
      </c>
      <c r="P20" s="52" t="s">
        <v>253</v>
      </c>
      <c r="Q20" s="53" t="s">
        <v>277</v>
      </c>
      <c r="R20" s="53" t="s">
        <v>200</v>
      </c>
      <c r="S20" s="95">
        <v>27375.0</v>
      </c>
      <c r="T20" s="53" t="s">
        <v>226</v>
      </c>
      <c r="U20" s="54">
        <f>2.205*3500*1055.056*S20/(POWER(10,6)*1000)</f>
        <v>222.8980544</v>
      </c>
      <c r="V20" s="55"/>
      <c r="W20" s="55"/>
      <c r="X20" s="55"/>
      <c r="Y20" s="55"/>
    </row>
    <row r="21" ht="15.75" customHeight="1">
      <c r="A21" s="42">
        <v>2019.0</v>
      </c>
      <c r="B21" s="42" t="s">
        <v>186</v>
      </c>
      <c r="C21" s="42" t="s">
        <v>144</v>
      </c>
      <c r="D21" s="42" t="s">
        <v>219</v>
      </c>
      <c r="E21" s="42" t="s">
        <v>220</v>
      </c>
      <c r="F21" s="42" t="s">
        <v>273</v>
      </c>
      <c r="G21" s="42" t="s">
        <v>208</v>
      </c>
      <c r="H21" s="91" t="s">
        <v>443</v>
      </c>
      <c r="I21" s="42"/>
      <c r="J21" s="42"/>
      <c r="K21" s="90"/>
      <c r="P21" s="52" t="s">
        <v>253</v>
      </c>
      <c r="Q21" s="53" t="s">
        <v>273</v>
      </c>
      <c r="R21" s="53" t="s">
        <v>208</v>
      </c>
      <c r="S21" s="96">
        <v>175444.71345015417</v>
      </c>
      <c r="T21" s="53" t="s">
        <v>226</v>
      </c>
      <c r="U21" s="54">
        <f>52.632*3600000*S21/POWER(10,12)</f>
        <v>33.24242217</v>
      </c>
      <c r="V21" s="55"/>
      <c r="W21" s="55"/>
      <c r="X21" s="55"/>
      <c r="Y21" s="55"/>
      <c r="Z21" s="41" t="s">
        <v>280</v>
      </c>
    </row>
    <row r="22" ht="15.75" customHeight="1">
      <c r="A22" s="42">
        <v>2019.0</v>
      </c>
      <c r="B22" s="42" t="s">
        <v>186</v>
      </c>
      <c r="C22" s="42" t="s">
        <v>144</v>
      </c>
      <c r="D22" s="42" t="s">
        <v>219</v>
      </c>
      <c r="E22" s="42" t="s">
        <v>220</v>
      </c>
      <c r="F22" s="42" t="s">
        <v>262</v>
      </c>
      <c r="G22" s="42" t="s">
        <v>208</v>
      </c>
      <c r="H22" s="42" t="s">
        <v>444</v>
      </c>
      <c r="I22" s="42"/>
      <c r="J22" s="42"/>
      <c r="K22" s="90">
        <f>1366870*1.1</f>
        <v>1503557</v>
      </c>
      <c r="P22" s="52" t="s">
        <v>93</v>
      </c>
      <c r="Q22" s="53" t="s">
        <v>236</v>
      </c>
      <c r="R22" s="53" t="s">
        <v>200</v>
      </c>
      <c r="S22" s="97">
        <v>26945.03</v>
      </c>
      <c r="T22" s="53" t="s">
        <v>283</v>
      </c>
      <c r="U22" s="54">
        <f t="shared" ref="U22:U45" si="13">+S22/1000</f>
        <v>26.94503</v>
      </c>
      <c r="V22" s="55"/>
      <c r="W22" s="55"/>
      <c r="X22" s="55"/>
      <c r="Y22" s="55"/>
      <c r="Z22" s="60">
        <f>+U22+U23+U24+U25</f>
        <v>87.5713475</v>
      </c>
      <c r="AB22" s="39" t="s">
        <v>284</v>
      </c>
      <c r="AC22" s="39" t="s">
        <v>285</v>
      </c>
      <c r="AD22" s="41"/>
      <c r="AE22" s="98" t="s">
        <v>445</v>
      </c>
    </row>
    <row r="23" ht="15.75" customHeight="1">
      <c r="A23" s="42">
        <v>2019.0</v>
      </c>
      <c r="B23" s="42" t="s">
        <v>186</v>
      </c>
      <c r="C23" s="42" t="s">
        <v>144</v>
      </c>
      <c r="D23" s="42" t="s">
        <v>219</v>
      </c>
      <c r="E23" s="42" t="s">
        <v>220</v>
      </c>
      <c r="F23" s="42" t="s">
        <v>267</v>
      </c>
      <c r="G23" s="42" t="s">
        <v>208</v>
      </c>
      <c r="H23" s="42" t="s">
        <v>446</v>
      </c>
      <c r="I23" s="42"/>
      <c r="J23" s="42"/>
      <c r="K23" s="90">
        <f>155000*1.1</f>
        <v>170500</v>
      </c>
      <c r="P23" s="52" t="s">
        <v>93</v>
      </c>
      <c r="Q23" s="53" t="s">
        <v>269</v>
      </c>
      <c r="R23" s="53" t="s">
        <v>200</v>
      </c>
      <c r="S23" s="42">
        <v>13472.515</v>
      </c>
      <c r="T23" s="53" t="s">
        <v>283</v>
      </c>
      <c r="U23" s="54">
        <f t="shared" si="13"/>
        <v>13.472515</v>
      </c>
      <c r="V23" s="55"/>
      <c r="W23" s="55"/>
      <c r="X23" s="55"/>
      <c r="Y23" s="55"/>
      <c r="AA23" s="39" t="s">
        <v>36</v>
      </c>
      <c r="AB23" s="60">
        <f>+(Z29+Z40)*(1-0.03)</f>
        <v>102.1165349</v>
      </c>
      <c r="AC23" s="60">
        <f>+Z32+Z43</f>
        <v>65.48328855</v>
      </c>
      <c r="AD23" s="99">
        <f t="shared" ref="AD23:AD24" si="14">+AC23+AB23</f>
        <v>167.5998235</v>
      </c>
      <c r="AE23" s="100">
        <f>+AD23</f>
        <v>167.5998235</v>
      </c>
    </row>
    <row r="24" ht="15.75" customHeight="1">
      <c r="A24" s="42">
        <v>2019.0</v>
      </c>
      <c r="B24" s="42" t="s">
        <v>186</v>
      </c>
      <c r="C24" s="42" t="s">
        <v>144</v>
      </c>
      <c r="D24" s="42" t="s">
        <v>288</v>
      </c>
      <c r="E24" s="42" t="s">
        <v>198</v>
      </c>
      <c r="F24" s="42" t="s">
        <v>270</v>
      </c>
      <c r="G24" s="42" t="s">
        <v>200</v>
      </c>
      <c r="H24" s="90" t="s">
        <v>447</v>
      </c>
      <c r="I24" s="42">
        <v>369110.0</v>
      </c>
      <c r="J24" s="42">
        <v>1.0</v>
      </c>
      <c r="K24" s="42">
        <f t="shared" ref="K24:K25" si="15">+J24*I24*365*0.3/1000</f>
        <v>40417.545</v>
      </c>
      <c r="P24" s="52" t="s">
        <v>93</v>
      </c>
      <c r="Q24" s="53" t="s">
        <v>282</v>
      </c>
      <c r="R24" s="53" t="s">
        <v>200</v>
      </c>
      <c r="S24" s="42">
        <v>20208.7725</v>
      </c>
      <c r="T24" s="53" t="s">
        <v>283</v>
      </c>
      <c r="U24" s="54">
        <f t="shared" si="13"/>
        <v>20.2087725</v>
      </c>
      <c r="V24" s="55"/>
      <c r="W24" s="55"/>
      <c r="X24" s="55"/>
      <c r="Y24" s="55"/>
      <c r="AA24" s="39" t="s">
        <v>291</v>
      </c>
      <c r="AB24" s="60">
        <f>+Z22+Z35</f>
        <v>97.1614232</v>
      </c>
      <c r="AC24" s="60">
        <f>+Z26+Z37</f>
        <v>187.9593087</v>
      </c>
      <c r="AD24" s="60">
        <f t="shared" si="14"/>
        <v>285.1207319</v>
      </c>
    </row>
    <row r="25" ht="15.75" customHeight="1">
      <c r="A25" s="42">
        <v>2019.0</v>
      </c>
      <c r="B25" s="42" t="s">
        <v>186</v>
      </c>
      <c r="C25" s="42" t="s">
        <v>144</v>
      </c>
      <c r="D25" s="42" t="s">
        <v>288</v>
      </c>
      <c r="E25" s="42" t="s">
        <v>198</v>
      </c>
      <c r="F25" s="42" t="s">
        <v>274</v>
      </c>
      <c r="G25" s="42" t="s">
        <v>200</v>
      </c>
      <c r="H25" s="90" t="s">
        <v>448</v>
      </c>
      <c r="I25" s="42">
        <v>369110.0</v>
      </c>
      <c r="J25" s="42">
        <v>0.5</v>
      </c>
      <c r="K25" s="42">
        <f t="shared" si="15"/>
        <v>20208.7725</v>
      </c>
      <c r="P25" s="52" t="s">
        <v>93</v>
      </c>
      <c r="Q25" s="53" t="s">
        <v>294</v>
      </c>
      <c r="R25" s="53" t="s">
        <v>200</v>
      </c>
      <c r="S25" s="42">
        <v>26945.03</v>
      </c>
      <c r="T25" s="53" t="s">
        <v>283</v>
      </c>
      <c r="U25" s="54">
        <f t="shared" si="13"/>
        <v>26.94503</v>
      </c>
      <c r="V25" s="55"/>
      <c r="W25" s="55"/>
      <c r="X25" s="55"/>
      <c r="Y25" s="55"/>
    </row>
    <row r="26" ht="15.75" customHeight="1">
      <c r="A26" s="42">
        <v>2019.0</v>
      </c>
      <c r="B26" s="42" t="s">
        <v>186</v>
      </c>
      <c r="C26" s="42" t="s">
        <v>144</v>
      </c>
      <c r="D26" s="42" t="s">
        <v>295</v>
      </c>
      <c r="E26" s="42" t="s">
        <v>198</v>
      </c>
      <c r="F26" s="42" t="s">
        <v>277</v>
      </c>
      <c r="G26" s="42" t="s">
        <v>200</v>
      </c>
      <c r="H26" s="90" t="s">
        <v>449</v>
      </c>
      <c r="I26" s="42">
        <v>25000.0</v>
      </c>
      <c r="J26" s="42">
        <v>3.0</v>
      </c>
      <c r="K26" s="42">
        <f t="shared" ref="K26:K50" si="16">+J26*I26*365/1000</f>
        <v>27375</v>
      </c>
      <c r="P26" s="52" t="s">
        <v>93</v>
      </c>
      <c r="Q26" s="53" t="s">
        <v>210</v>
      </c>
      <c r="R26" s="53" t="s">
        <v>200</v>
      </c>
      <c r="S26" s="42">
        <v>9430.7605</v>
      </c>
      <c r="T26" s="53" t="s">
        <v>283</v>
      </c>
      <c r="U26" s="54">
        <f t="shared" si="13"/>
        <v>9.4307605</v>
      </c>
      <c r="V26" s="55"/>
      <c r="W26" s="55"/>
      <c r="X26" s="55"/>
      <c r="Y26" s="55"/>
      <c r="Z26" s="60">
        <f>+U26+U27+U28</f>
        <v>180.531701</v>
      </c>
    </row>
    <row r="27" ht="15.75" customHeight="1">
      <c r="A27" s="42">
        <v>2019.0</v>
      </c>
      <c r="B27" s="42" t="s">
        <v>186</v>
      </c>
      <c r="C27" s="42" t="s">
        <v>144</v>
      </c>
      <c r="D27" s="42" t="s">
        <v>298</v>
      </c>
      <c r="E27" s="42" t="s">
        <v>299</v>
      </c>
      <c r="F27" s="42" t="s">
        <v>236</v>
      </c>
      <c r="G27" s="42" t="s">
        <v>200</v>
      </c>
      <c r="H27" s="90" t="s">
        <v>450</v>
      </c>
      <c r="I27" s="42">
        <v>369110.0</v>
      </c>
      <c r="J27" s="42">
        <f>200/1000</f>
        <v>0.2</v>
      </c>
      <c r="K27" s="42">
        <f t="shared" si="16"/>
        <v>26945.03</v>
      </c>
      <c r="P27" s="52" t="s">
        <v>93</v>
      </c>
      <c r="Q27" s="53" t="s">
        <v>223</v>
      </c>
      <c r="R27" s="53" t="s">
        <v>200</v>
      </c>
      <c r="S27" s="42">
        <v>134725.15</v>
      </c>
      <c r="T27" s="53" t="s">
        <v>283</v>
      </c>
      <c r="U27" s="54">
        <f t="shared" si="13"/>
        <v>134.72515</v>
      </c>
      <c r="V27" s="55"/>
      <c r="W27" s="55"/>
      <c r="X27" s="55"/>
      <c r="Y27" s="55"/>
    </row>
    <row r="28" ht="15.75" customHeight="1">
      <c r="A28" s="42">
        <v>2019.0</v>
      </c>
      <c r="B28" s="42" t="s">
        <v>186</v>
      </c>
      <c r="C28" s="42" t="s">
        <v>144</v>
      </c>
      <c r="D28" s="42" t="s">
        <v>298</v>
      </c>
      <c r="E28" s="42" t="s">
        <v>299</v>
      </c>
      <c r="F28" s="42" t="s">
        <v>269</v>
      </c>
      <c r="G28" s="42" t="s">
        <v>200</v>
      </c>
      <c r="H28" s="90" t="s">
        <v>451</v>
      </c>
      <c r="I28" s="42">
        <v>369110.0</v>
      </c>
      <c r="J28" s="42">
        <f>100/1000</f>
        <v>0.1</v>
      </c>
      <c r="K28" s="42">
        <f t="shared" si="16"/>
        <v>13472.515</v>
      </c>
      <c r="P28" s="52" t="s">
        <v>93</v>
      </c>
      <c r="Q28" s="53" t="s">
        <v>279</v>
      </c>
      <c r="R28" s="53" t="s">
        <v>200</v>
      </c>
      <c r="S28" s="42">
        <v>36375.79050000001</v>
      </c>
      <c r="T28" s="53" t="s">
        <v>283</v>
      </c>
      <c r="U28" s="54">
        <f t="shared" si="13"/>
        <v>36.3757905</v>
      </c>
      <c r="V28" s="55"/>
      <c r="W28" s="55"/>
      <c r="X28" s="55"/>
      <c r="Y28" s="55"/>
    </row>
    <row r="29" ht="15.75" customHeight="1">
      <c r="A29" s="42">
        <v>2019.0</v>
      </c>
      <c r="B29" s="42" t="s">
        <v>186</v>
      </c>
      <c r="C29" s="42" t="s">
        <v>144</v>
      </c>
      <c r="D29" s="42" t="s">
        <v>298</v>
      </c>
      <c r="E29" s="42" t="s">
        <v>299</v>
      </c>
      <c r="F29" s="42" t="s">
        <v>282</v>
      </c>
      <c r="G29" s="42" t="s">
        <v>200</v>
      </c>
      <c r="H29" s="90" t="s">
        <v>452</v>
      </c>
      <c r="I29" s="42">
        <v>369110.0</v>
      </c>
      <c r="J29" s="42">
        <f>150/1000</f>
        <v>0.15</v>
      </c>
      <c r="K29" s="42">
        <f t="shared" si="16"/>
        <v>20208.7725</v>
      </c>
      <c r="P29" s="52" t="s">
        <v>93</v>
      </c>
      <c r="Q29" s="53" t="s">
        <v>240</v>
      </c>
      <c r="R29" s="53" t="s">
        <v>200</v>
      </c>
      <c r="S29" s="42">
        <v>40417.545</v>
      </c>
      <c r="T29" s="53" t="s">
        <v>283</v>
      </c>
      <c r="U29" s="54">
        <f t="shared" si="13"/>
        <v>40.417545</v>
      </c>
      <c r="V29" s="55"/>
      <c r="W29" s="55"/>
      <c r="X29" s="55"/>
      <c r="Y29" s="55"/>
      <c r="Z29" s="60">
        <f>+U29+U30+U31</f>
        <v>101.0438625</v>
      </c>
    </row>
    <row r="30" ht="15.75" customHeight="1">
      <c r="A30" s="42">
        <v>2019.0</v>
      </c>
      <c r="B30" s="42" t="s">
        <v>186</v>
      </c>
      <c r="C30" s="42" t="s">
        <v>144</v>
      </c>
      <c r="D30" s="42" t="s">
        <v>298</v>
      </c>
      <c r="E30" s="42" t="s">
        <v>299</v>
      </c>
      <c r="F30" s="42" t="s">
        <v>294</v>
      </c>
      <c r="G30" s="42" t="s">
        <v>200</v>
      </c>
      <c r="H30" s="90" t="s">
        <v>450</v>
      </c>
      <c r="I30" s="42">
        <v>369110.0</v>
      </c>
      <c r="J30" s="42">
        <f>200/1000</f>
        <v>0.2</v>
      </c>
      <c r="K30" s="42">
        <f t="shared" si="16"/>
        <v>26945.03</v>
      </c>
      <c r="P30" s="52" t="s">
        <v>93</v>
      </c>
      <c r="Q30" s="53" t="s">
        <v>266</v>
      </c>
      <c r="R30" s="53" t="s">
        <v>200</v>
      </c>
      <c r="S30" s="42">
        <v>26945.03</v>
      </c>
      <c r="T30" s="53" t="s">
        <v>283</v>
      </c>
      <c r="U30" s="54">
        <f t="shared" si="13"/>
        <v>26.94503</v>
      </c>
      <c r="V30" s="55"/>
      <c r="W30" s="55"/>
      <c r="X30" s="55"/>
      <c r="Y30" s="55"/>
    </row>
    <row r="31" ht="15.75" customHeight="1">
      <c r="A31" s="42">
        <v>2019.0</v>
      </c>
      <c r="B31" s="42" t="s">
        <v>186</v>
      </c>
      <c r="C31" s="42" t="s">
        <v>144</v>
      </c>
      <c r="D31" s="42" t="s">
        <v>298</v>
      </c>
      <c r="E31" s="42" t="s">
        <v>306</v>
      </c>
      <c r="F31" s="42" t="s">
        <v>210</v>
      </c>
      <c r="G31" s="42" t="s">
        <v>200</v>
      </c>
      <c r="H31" s="90" t="s">
        <v>453</v>
      </c>
      <c r="I31" s="42">
        <v>369110.0</v>
      </c>
      <c r="J31" s="42">
        <f>70/1000</f>
        <v>0.07</v>
      </c>
      <c r="K31" s="42">
        <f t="shared" si="16"/>
        <v>9430.7605</v>
      </c>
      <c r="P31" s="52" t="s">
        <v>93</v>
      </c>
      <c r="Q31" s="53" t="s">
        <v>305</v>
      </c>
      <c r="R31" s="53" t="s">
        <v>200</v>
      </c>
      <c r="S31" s="42">
        <v>33681.2875</v>
      </c>
      <c r="T31" s="53" t="s">
        <v>283</v>
      </c>
      <c r="U31" s="54">
        <f t="shared" si="13"/>
        <v>33.6812875</v>
      </c>
      <c r="V31" s="55"/>
      <c r="W31" s="55"/>
      <c r="X31" s="55"/>
      <c r="Y31" s="55"/>
    </row>
    <row r="32" ht="15.75" customHeight="1">
      <c r="A32" s="42">
        <v>2019.0</v>
      </c>
      <c r="B32" s="42" t="s">
        <v>186</v>
      </c>
      <c r="C32" s="42" t="s">
        <v>144</v>
      </c>
      <c r="D32" s="42" t="s">
        <v>298</v>
      </c>
      <c r="E32" s="42" t="s">
        <v>306</v>
      </c>
      <c r="F32" s="42" t="s">
        <v>223</v>
      </c>
      <c r="G32" s="42" t="s">
        <v>200</v>
      </c>
      <c r="H32" s="90" t="s">
        <v>454</v>
      </c>
      <c r="I32" s="42">
        <v>369110.0</v>
      </c>
      <c r="J32" s="42">
        <f>1000/1000</f>
        <v>1</v>
      </c>
      <c r="K32" s="42">
        <f t="shared" si="16"/>
        <v>134725.15</v>
      </c>
      <c r="P32" s="52" t="s">
        <v>93</v>
      </c>
      <c r="Q32" s="53" t="s">
        <v>252</v>
      </c>
      <c r="R32" s="53" t="s">
        <v>200</v>
      </c>
      <c r="S32" s="42">
        <v>1128.2441999999999</v>
      </c>
      <c r="T32" s="53" t="s">
        <v>283</v>
      </c>
      <c r="U32" s="54">
        <f t="shared" si="13"/>
        <v>1.1282442</v>
      </c>
      <c r="V32" s="55"/>
      <c r="W32" s="55"/>
      <c r="X32" s="55"/>
      <c r="Y32" s="55"/>
      <c r="Z32" s="60">
        <f>+U32+U33+U34</f>
        <v>2.16246805</v>
      </c>
    </row>
    <row r="33" ht="15.75" customHeight="1">
      <c r="A33" s="42">
        <v>2019.0</v>
      </c>
      <c r="B33" s="42" t="s">
        <v>186</v>
      </c>
      <c r="C33" s="42" t="s">
        <v>144</v>
      </c>
      <c r="D33" s="42" t="s">
        <v>298</v>
      </c>
      <c r="E33" s="42" t="s">
        <v>306</v>
      </c>
      <c r="F33" s="42" t="s">
        <v>279</v>
      </c>
      <c r="G33" s="42" t="s">
        <v>200</v>
      </c>
      <c r="H33" s="90" t="s">
        <v>455</v>
      </c>
      <c r="I33" s="42">
        <v>369110.0</v>
      </c>
      <c r="J33" s="42">
        <f>270/1000</f>
        <v>0.27</v>
      </c>
      <c r="K33" s="42">
        <f t="shared" si="16"/>
        <v>36375.7905</v>
      </c>
      <c r="P33" s="52" t="s">
        <v>93</v>
      </c>
      <c r="Q33" s="53" t="s">
        <v>290</v>
      </c>
      <c r="R33" s="53" t="s">
        <v>200</v>
      </c>
      <c r="S33" s="42">
        <v>564.1220999999999</v>
      </c>
      <c r="T33" s="53" t="s">
        <v>283</v>
      </c>
      <c r="U33" s="54">
        <f t="shared" si="13"/>
        <v>0.5641221</v>
      </c>
      <c r="V33" s="55"/>
      <c r="W33" s="55"/>
      <c r="X33" s="55"/>
      <c r="Y33" s="55"/>
    </row>
    <row r="34" ht="15.75" customHeight="1">
      <c r="A34" s="42">
        <v>2019.0</v>
      </c>
      <c r="B34" s="42" t="s">
        <v>186</v>
      </c>
      <c r="C34" s="42" t="s">
        <v>144</v>
      </c>
      <c r="D34" s="42" t="s">
        <v>310</v>
      </c>
      <c r="E34" s="42" t="s">
        <v>299</v>
      </c>
      <c r="F34" s="42" t="s">
        <v>240</v>
      </c>
      <c r="G34" s="42" t="s">
        <v>200</v>
      </c>
      <c r="H34" s="90" t="s">
        <v>456</v>
      </c>
      <c r="I34" s="42">
        <v>369110.0</v>
      </c>
      <c r="J34" s="42">
        <f>300/1000</f>
        <v>0.3</v>
      </c>
      <c r="K34" s="42">
        <f t="shared" si="16"/>
        <v>40417.545</v>
      </c>
      <c r="P34" s="52" t="s">
        <v>93</v>
      </c>
      <c r="Q34" s="53" t="s">
        <v>297</v>
      </c>
      <c r="R34" s="53" t="s">
        <v>200</v>
      </c>
      <c r="S34" s="42">
        <v>470.10175</v>
      </c>
      <c r="T34" s="53" t="s">
        <v>283</v>
      </c>
      <c r="U34" s="54">
        <f t="shared" si="13"/>
        <v>0.47010175</v>
      </c>
      <c r="V34" s="55"/>
      <c r="W34" s="55"/>
      <c r="X34" s="55"/>
      <c r="Y34" s="55"/>
    </row>
    <row r="35" ht="15.75" customHeight="1">
      <c r="A35" s="42">
        <v>2019.0</v>
      </c>
      <c r="B35" s="42" t="s">
        <v>186</v>
      </c>
      <c r="C35" s="42" t="s">
        <v>144</v>
      </c>
      <c r="D35" s="42" t="s">
        <v>310</v>
      </c>
      <c r="E35" s="42" t="s">
        <v>299</v>
      </c>
      <c r="F35" s="42" t="s">
        <v>266</v>
      </c>
      <c r="G35" s="42" t="s">
        <v>200</v>
      </c>
      <c r="H35" s="90" t="s">
        <v>450</v>
      </c>
      <c r="I35" s="42">
        <v>369110.0</v>
      </c>
      <c r="J35" s="42">
        <f>200/1000</f>
        <v>0.2</v>
      </c>
      <c r="K35" s="42">
        <f t="shared" si="16"/>
        <v>26945.03</v>
      </c>
      <c r="P35" s="52" t="s">
        <v>93</v>
      </c>
      <c r="Q35" s="53" t="s">
        <v>229</v>
      </c>
      <c r="R35" s="53" t="s">
        <v>200</v>
      </c>
      <c r="S35" s="42">
        <v>7521.628</v>
      </c>
      <c r="T35" s="53" t="s">
        <v>283</v>
      </c>
      <c r="U35" s="54">
        <f t="shared" si="13"/>
        <v>7.521628</v>
      </c>
      <c r="V35" s="55"/>
      <c r="W35" s="55"/>
      <c r="X35" s="55"/>
      <c r="Y35" s="55"/>
      <c r="Z35" s="60">
        <f>+U35+U36</f>
        <v>9.5900757</v>
      </c>
    </row>
    <row r="36" ht="15.75" customHeight="1">
      <c r="A36" s="42">
        <v>2019.0</v>
      </c>
      <c r="B36" s="42" t="s">
        <v>186</v>
      </c>
      <c r="C36" s="42" t="s">
        <v>144</v>
      </c>
      <c r="D36" s="42" t="s">
        <v>310</v>
      </c>
      <c r="E36" s="42" t="s">
        <v>299</v>
      </c>
      <c r="F36" s="42" t="s">
        <v>305</v>
      </c>
      <c r="G36" s="42" t="s">
        <v>200</v>
      </c>
      <c r="H36" s="90" t="s">
        <v>457</v>
      </c>
      <c r="I36" s="42">
        <v>369110.0</v>
      </c>
      <c r="J36" s="42">
        <f>250/1000</f>
        <v>0.25</v>
      </c>
      <c r="K36" s="42">
        <f t="shared" si="16"/>
        <v>33681.2875</v>
      </c>
      <c r="P36" s="52" t="s">
        <v>93</v>
      </c>
      <c r="Q36" s="53" t="s">
        <v>301</v>
      </c>
      <c r="R36" s="53" t="s">
        <v>200</v>
      </c>
      <c r="S36" s="42">
        <v>2068.4477</v>
      </c>
      <c r="T36" s="53" t="s">
        <v>283</v>
      </c>
      <c r="U36" s="54">
        <f t="shared" si="13"/>
        <v>2.0684477</v>
      </c>
      <c r="V36" s="55"/>
      <c r="W36" s="55"/>
      <c r="X36" s="55"/>
      <c r="Y36" s="55"/>
    </row>
    <row r="37" ht="15.75" customHeight="1">
      <c r="A37" s="42">
        <v>2019.0</v>
      </c>
      <c r="B37" s="42" t="s">
        <v>186</v>
      </c>
      <c r="C37" s="42" t="s">
        <v>144</v>
      </c>
      <c r="D37" s="42" t="s">
        <v>310</v>
      </c>
      <c r="E37" s="42" t="s">
        <v>306</v>
      </c>
      <c r="F37" s="42" t="s">
        <v>252</v>
      </c>
      <c r="G37" s="42" t="s">
        <v>200</v>
      </c>
      <c r="H37" s="90" t="s">
        <v>458</v>
      </c>
      <c r="I37" s="42">
        <v>369110.0</v>
      </c>
      <c r="J37" s="42">
        <f>170/1000</f>
        <v>0.17</v>
      </c>
      <c r="K37" s="42">
        <f t="shared" si="16"/>
        <v>22903.2755</v>
      </c>
      <c r="P37" s="52" t="s">
        <v>93</v>
      </c>
      <c r="Q37" s="53" t="s">
        <v>202</v>
      </c>
      <c r="R37" s="53" t="s">
        <v>200</v>
      </c>
      <c r="S37" s="42">
        <v>846.1831500000001</v>
      </c>
      <c r="T37" s="53" t="s">
        <v>283</v>
      </c>
      <c r="U37" s="54">
        <f t="shared" si="13"/>
        <v>0.84618315</v>
      </c>
      <c r="V37" s="55"/>
      <c r="W37" s="55"/>
      <c r="X37" s="55"/>
      <c r="Y37" s="55"/>
      <c r="Z37" s="60">
        <f>+U37+U38+U39</f>
        <v>7.42760765</v>
      </c>
    </row>
    <row r="38" ht="15.75" customHeight="1">
      <c r="A38" s="42">
        <v>2019.0</v>
      </c>
      <c r="B38" s="42" t="s">
        <v>186</v>
      </c>
      <c r="C38" s="42" t="s">
        <v>144</v>
      </c>
      <c r="D38" s="42" t="s">
        <v>310</v>
      </c>
      <c r="E38" s="42" t="s">
        <v>306</v>
      </c>
      <c r="F38" s="42" t="s">
        <v>290</v>
      </c>
      <c r="G38" s="42" t="s">
        <v>200</v>
      </c>
      <c r="H38" s="90" t="s">
        <v>450</v>
      </c>
      <c r="I38" s="42">
        <v>369110.0</v>
      </c>
      <c r="J38" s="42">
        <f>200/1000</f>
        <v>0.2</v>
      </c>
      <c r="K38" s="42">
        <f t="shared" si="16"/>
        <v>26945.03</v>
      </c>
      <c r="P38" s="52" t="s">
        <v>93</v>
      </c>
      <c r="Q38" s="53" t="s">
        <v>217</v>
      </c>
      <c r="R38" s="53" t="s">
        <v>200</v>
      </c>
      <c r="S38" s="42">
        <v>2820.6105</v>
      </c>
      <c r="T38" s="53" t="s">
        <v>283</v>
      </c>
      <c r="U38" s="54">
        <f t="shared" si="13"/>
        <v>2.8206105</v>
      </c>
      <c r="V38" s="55"/>
      <c r="W38" s="55"/>
      <c r="X38" s="55"/>
      <c r="Y38" s="55"/>
    </row>
    <row r="39" ht="15.75" customHeight="1">
      <c r="A39" s="42">
        <v>2019.0</v>
      </c>
      <c r="B39" s="42" t="s">
        <v>186</v>
      </c>
      <c r="C39" s="42" t="s">
        <v>144</v>
      </c>
      <c r="D39" s="42" t="s">
        <v>310</v>
      </c>
      <c r="E39" s="42" t="s">
        <v>306</v>
      </c>
      <c r="F39" s="42" t="s">
        <v>297</v>
      </c>
      <c r="G39" s="42" t="s">
        <v>200</v>
      </c>
      <c r="H39" s="90" t="s">
        <v>451</v>
      </c>
      <c r="I39" s="42">
        <v>369110.0</v>
      </c>
      <c r="J39" s="42">
        <f>100/1000</f>
        <v>0.1</v>
      </c>
      <c r="K39" s="42">
        <f t="shared" si="16"/>
        <v>13472.515</v>
      </c>
      <c r="P39" s="52" t="s">
        <v>93</v>
      </c>
      <c r="Q39" s="53" t="s">
        <v>276</v>
      </c>
      <c r="R39" s="53" t="s">
        <v>200</v>
      </c>
      <c r="S39" s="42">
        <v>3760.814</v>
      </c>
      <c r="T39" s="53" t="s">
        <v>283</v>
      </c>
      <c r="U39" s="54">
        <f t="shared" si="13"/>
        <v>3.760814</v>
      </c>
      <c r="V39" s="55"/>
      <c r="W39" s="55"/>
      <c r="X39" s="55"/>
      <c r="Y39" s="55"/>
    </row>
    <row r="40" ht="15.75" customHeight="1">
      <c r="A40" s="42">
        <v>2019.0</v>
      </c>
      <c r="B40" s="42" t="s">
        <v>186</v>
      </c>
      <c r="C40" s="42" t="s">
        <v>144</v>
      </c>
      <c r="D40" s="42" t="s">
        <v>298</v>
      </c>
      <c r="E40" s="42" t="s">
        <v>299</v>
      </c>
      <c r="F40" s="42" t="s">
        <v>229</v>
      </c>
      <c r="G40" s="42" t="s">
        <v>200</v>
      </c>
      <c r="H40" s="90" t="s">
        <v>459</v>
      </c>
      <c r="I40" s="42">
        <v>25759.0</v>
      </c>
      <c r="J40" s="42">
        <f>120/1000</f>
        <v>0.12</v>
      </c>
      <c r="K40" s="42">
        <f t="shared" si="16"/>
        <v>1128.2442</v>
      </c>
      <c r="P40" s="52" t="s">
        <v>93</v>
      </c>
      <c r="Q40" s="53" t="s">
        <v>233</v>
      </c>
      <c r="R40" s="53" t="s">
        <v>200</v>
      </c>
      <c r="S40" s="42">
        <v>1410.30525</v>
      </c>
      <c r="T40" s="53" t="s">
        <v>283</v>
      </c>
      <c r="U40" s="54">
        <f t="shared" si="13"/>
        <v>1.41030525</v>
      </c>
      <c r="V40" s="55"/>
      <c r="W40" s="55"/>
      <c r="X40" s="55"/>
      <c r="Y40" s="55"/>
      <c r="Z40" s="60">
        <f>+U40+U41+U42</f>
        <v>4.23091575</v>
      </c>
    </row>
    <row r="41" ht="15.75" customHeight="1">
      <c r="A41" s="42">
        <v>2019.0</v>
      </c>
      <c r="B41" s="42" t="s">
        <v>186</v>
      </c>
      <c r="C41" s="42" t="s">
        <v>144</v>
      </c>
      <c r="D41" s="42" t="s">
        <v>298</v>
      </c>
      <c r="E41" s="42" t="s">
        <v>299</v>
      </c>
      <c r="F41" s="42" t="s">
        <v>301</v>
      </c>
      <c r="G41" s="42" t="s">
        <v>200</v>
      </c>
      <c r="H41" s="90" t="s">
        <v>460</v>
      </c>
      <c r="I41" s="42">
        <v>25759.0</v>
      </c>
      <c r="J41" s="42">
        <f>60/1000</f>
        <v>0.06</v>
      </c>
      <c r="K41" s="42">
        <f t="shared" si="16"/>
        <v>564.1221</v>
      </c>
      <c r="P41" s="52" t="s">
        <v>93</v>
      </c>
      <c r="Q41" s="53" t="s">
        <v>261</v>
      </c>
      <c r="R41" s="53" t="s">
        <v>200</v>
      </c>
      <c r="S41" s="42">
        <v>940.2035</v>
      </c>
      <c r="T41" s="53" t="s">
        <v>283</v>
      </c>
      <c r="U41" s="54">
        <f t="shared" si="13"/>
        <v>0.9402035</v>
      </c>
      <c r="V41" s="55"/>
      <c r="W41" s="55"/>
      <c r="X41" s="55"/>
      <c r="Y41" s="55"/>
    </row>
    <row r="42" ht="15.75" customHeight="1">
      <c r="A42" s="42">
        <v>2019.0</v>
      </c>
      <c r="B42" s="42" t="s">
        <v>186</v>
      </c>
      <c r="C42" s="42" t="s">
        <v>144</v>
      </c>
      <c r="D42" s="42" t="s">
        <v>298</v>
      </c>
      <c r="E42" s="42" t="s">
        <v>306</v>
      </c>
      <c r="F42" s="42" t="s">
        <v>202</v>
      </c>
      <c r="G42" s="42" t="s">
        <v>200</v>
      </c>
      <c r="H42" s="90" t="s">
        <v>461</v>
      </c>
      <c r="I42" s="42">
        <v>25759.0</v>
      </c>
      <c r="J42" s="42">
        <f>50/1000</f>
        <v>0.05</v>
      </c>
      <c r="K42" s="42">
        <f t="shared" si="16"/>
        <v>470.10175</v>
      </c>
      <c r="P42" s="52" t="s">
        <v>93</v>
      </c>
      <c r="Q42" s="53" t="s">
        <v>303</v>
      </c>
      <c r="R42" s="53" t="s">
        <v>200</v>
      </c>
      <c r="S42" s="42">
        <v>1880.407</v>
      </c>
      <c r="T42" s="53" t="s">
        <v>283</v>
      </c>
      <c r="U42" s="54">
        <f t="shared" si="13"/>
        <v>1.880407</v>
      </c>
      <c r="V42" s="55"/>
      <c r="W42" s="55"/>
      <c r="X42" s="55"/>
      <c r="Y42" s="55"/>
    </row>
    <row r="43" ht="15.75" customHeight="1">
      <c r="A43" s="42">
        <v>2019.0</v>
      </c>
      <c r="B43" s="42" t="s">
        <v>186</v>
      </c>
      <c r="C43" s="42" t="s">
        <v>144</v>
      </c>
      <c r="D43" s="42" t="s">
        <v>298</v>
      </c>
      <c r="E43" s="42" t="s">
        <v>306</v>
      </c>
      <c r="F43" s="42" t="s">
        <v>217</v>
      </c>
      <c r="G43" s="42" t="s">
        <v>200</v>
      </c>
      <c r="H43" s="90" t="s">
        <v>462</v>
      </c>
      <c r="I43" s="42">
        <v>25759.0</v>
      </c>
      <c r="J43" s="42">
        <f>800/1000</f>
        <v>0.8</v>
      </c>
      <c r="K43" s="42">
        <f t="shared" si="16"/>
        <v>7521.628</v>
      </c>
      <c r="P43" s="52" t="s">
        <v>93</v>
      </c>
      <c r="Q43" s="53" t="s">
        <v>246</v>
      </c>
      <c r="R43" s="53" t="s">
        <v>200</v>
      </c>
      <c r="S43" s="42">
        <v>22903.2755</v>
      </c>
      <c r="T43" s="53" t="s">
        <v>283</v>
      </c>
      <c r="U43" s="54">
        <f t="shared" si="13"/>
        <v>22.9032755</v>
      </c>
      <c r="V43" s="55"/>
      <c r="W43" s="55"/>
      <c r="X43" s="55"/>
      <c r="Y43" s="55"/>
      <c r="Z43" s="60">
        <f>+U43+U44+U45</f>
        <v>63.3208205</v>
      </c>
    </row>
    <row r="44" ht="15.75" customHeight="1">
      <c r="A44" s="42">
        <v>2019.0</v>
      </c>
      <c r="B44" s="42" t="s">
        <v>186</v>
      </c>
      <c r="C44" s="42" t="s">
        <v>144</v>
      </c>
      <c r="D44" s="42" t="s">
        <v>298</v>
      </c>
      <c r="E44" s="42" t="s">
        <v>306</v>
      </c>
      <c r="F44" s="42" t="s">
        <v>276</v>
      </c>
      <c r="G44" s="42" t="s">
        <v>200</v>
      </c>
      <c r="H44" s="90" t="s">
        <v>463</v>
      </c>
      <c r="I44" s="42">
        <v>25759.0</v>
      </c>
      <c r="J44" s="42">
        <f>220/1000</f>
        <v>0.22</v>
      </c>
      <c r="K44" s="42">
        <f t="shared" si="16"/>
        <v>2068.4477</v>
      </c>
      <c r="P44" s="52" t="s">
        <v>93</v>
      </c>
      <c r="Q44" s="53" t="s">
        <v>287</v>
      </c>
      <c r="R44" s="53" t="s">
        <v>200</v>
      </c>
      <c r="S44" s="42">
        <v>26945.03</v>
      </c>
      <c r="T44" s="53" t="s">
        <v>283</v>
      </c>
      <c r="U44" s="54">
        <f t="shared" si="13"/>
        <v>26.94503</v>
      </c>
      <c r="V44" s="55"/>
      <c r="W44" s="55"/>
      <c r="X44" s="55"/>
      <c r="Y44" s="55"/>
    </row>
    <row r="45" ht="15.75" customHeight="1">
      <c r="A45" s="42">
        <v>2019.0</v>
      </c>
      <c r="B45" s="42" t="s">
        <v>186</v>
      </c>
      <c r="C45" s="42" t="s">
        <v>144</v>
      </c>
      <c r="D45" s="42" t="s">
        <v>310</v>
      </c>
      <c r="E45" s="42" t="s">
        <v>299</v>
      </c>
      <c r="F45" s="42" t="s">
        <v>233</v>
      </c>
      <c r="G45" s="42" t="s">
        <v>200</v>
      </c>
      <c r="H45" s="90" t="s">
        <v>464</v>
      </c>
      <c r="I45" s="42">
        <v>25759.0</v>
      </c>
      <c r="J45" s="42">
        <f>90/1000</f>
        <v>0.09</v>
      </c>
      <c r="K45" s="42">
        <f t="shared" si="16"/>
        <v>846.18315</v>
      </c>
      <c r="P45" s="52" t="s">
        <v>93</v>
      </c>
      <c r="Q45" s="53" t="s">
        <v>293</v>
      </c>
      <c r="R45" s="53" t="s">
        <v>200</v>
      </c>
      <c r="S45" s="95">
        <v>13472.515</v>
      </c>
      <c r="T45" s="53" t="s">
        <v>283</v>
      </c>
      <c r="U45" s="54">
        <f t="shared" si="13"/>
        <v>13.472515</v>
      </c>
      <c r="V45" s="55"/>
      <c r="W45" s="55"/>
      <c r="X45" s="55"/>
      <c r="Y45" s="55"/>
    </row>
    <row r="46" ht="15.75" customHeight="1">
      <c r="A46" s="42">
        <v>2019.0</v>
      </c>
      <c r="B46" s="42" t="s">
        <v>186</v>
      </c>
      <c r="C46" s="42" t="s">
        <v>144</v>
      </c>
      <c r="D46" s="42" t="s">
        <v>310</v>
      </c>
      <c r="E46" s="42" t="s">
        <v>299</v>
      </c>
      <c r="F46" s="42" t="s">
        <v>261</v>
      </c>
      <c r="G46" s="42" t="s">
        <v>200</v>
      </c>
      <c r="H46" s="90" t="s">
        <v>465</v>
      </c>
      <c r="I46" s="42">
        <v>25759.0</v>
      </c>
      <c r="J46" s="42">
        <f>300/1000</f>
        <v>0.3</v>
      </c>
      <c r="K46" s="42">
        <f t="shared" si="16"/>
        <v>2820.6105</v>
      </c>
      <c r="P46" s="42"/>
      <c r="Q46" s="39" t="s">
        <v>170</v>
      </c>
      <c r="R46" s="42"/>
      <c r="S46" s="95"/>
      <c r="T46" s="42"/>
      <c r="U46" s="42"/>
    </row>
    <row r="47" ht="15.75" customHeight="1">
      <c r="A47" s="42">
        <v>2019.0</v>
      </c>
      <c r="B47" s="42" t="s">
        <v>186</v>
      </c>
      <c r="C47" s="42" t="s">
        <v>144</v>
      </c>
      <c r="D47" s="42" t="s">
        <v>310</v>
      </c>
      <c r="E47" s="42" t="s">
        <v>299</v>
      </c>
      <c r="F47" s="42" t="s">
        <v>303</v>
      </c>
      <c r="G47" s="42" t="s">
        <v>200</v>
      </c>
      <c r="H47" s="90" t="s">
        <v>466</v>
      </c>
      <c r="I47" s="42">
        <v>25759.0</v>
      </c>
      <c r="J47" s="42">
        <f>400/1000</f>
        <v>0.4</v>
      </c>
      <c r="K47" s="42">
        <f t="shared" si="16"/>
        <v>3760.814</v>
      </c>
      <c r="P47" s="52" t="s">
        <v>51</v>
      </c>
      <c r="Q47" s="53" t="s">
        <v>191</v>
      </c>
      <c r="R47" s="53" t="s">
        <v>174</v>
      </c>
      <c r="S47" s="101">
        <v>1.78125E10</v>
      </c>
      <c r="T47" s="53" t="s">
        <v>195</v>
      </c>
      <c r="U47" s="102">
        <f t="shared" ref="U47:U48" si="17">+S47/POWER(10,6)</f>
        <v>17812.5</v>
      </c>
      <c r="V47" s="55"/>
      <c r="W47" s="55"/>
      <c r="X47" s="55"/>
      <c r="Y47" s="55"/>
    </row>
    <row r="48" ht="15.75" customHeight="1">
      <c r="A48" s="42">
        <v>2019.0</v>
      </c>
      <c r="B48" s="42" t="s">
        <v>186</v>
      </c>
      <c r="C48" s="42" t="s">
        <v>144</v>
      </c>
      <c r="D48" s="42" t="s">
        <v>310</v>
      </c>
      <c r="E48" s="42" t="s">
        <v>306</v>
      </c>
      <c r="F48" s="42" t="s">
        <v>246</v>
      </c>
      <c r="G48" s="42" t="s">
        <v>200</v>
      </c>
      <c r="H48" s="90" t="s">
        <v>467</v>
      </c>
      <c r="I48" s="42">
        <v>25759.0</v>
      </c>
      <c r="J48" s="42">
        <f>150/1000</f>
        <v>0.15</v>
      </c>
      <c r="K48" s="42">
        <f t="shared" si="16"/>
        <v>1410.30525</v>
      </c>
      <c r="P48" s="52" t="s">
        <v>51</v>
      </c>
      <c r="Q48" s="53" t="s">
        <v>173</v>
      </c>
      <c r="R48" s="53" t="s">
        <v>174</v>
      </c>
      <c r="S48" s="53">
        <v>4.0E7</v>
      </c>
      <c r="T48" s="53" t="s">
        <v>195</v>
      </c>
      <c r="U48" s="54">
        <f t="shared" si="17"/>
        <v>40</v>
      </c>
      <c r="V48" s="55"/>
      <c r="W48" s="55"/>
      <c r="X48" s="55"/>
      <c r="Y48" s="55"/>
    </row>
    <row r="49" ht="15.75" customHeight="1">
      <c r="A49" s="42">
        <v>2019.0</v>
      </c>
      <c r="B49" s="42" t="s">
        <v>186</v>
      </c>
      <c r="C49" s="42" t="s">
        <v>144</v>
      </c>
      <c r="D49" s="42" t="s">
        <v>310</v>
      </c>
      <c r="E49" s="42" t="s">
        <v>306</v>
      </c>
      <c r="F49" s="42" t="s">
        <v>287</v>
      </c>
      <c r="G49" s="42" t="s">
        <v>200</v>
      </c>
      <c r="H49" s="90" t="s">
        <v>468</v>
      </c>
      <c r="I49" s="42">
        <v>25759.0</v>
      </c>
      <c r="J49" s="42">
        <f>100/1000</f>
        <v>0.1</v>
      </c>
      <c r="K49" s="42">
        <f t="shared" si="16"/>
        <v>940.2035</v>
      </c>
      <c r="P49" s="52" t="s">
        <v>46</v>
      </c>
      <c r="Q49" s="53" t="s">
        <v>199</v>
      </c>
      <c r="R49" s="53" t="s">
        <v>200</v>
      </c>
      <c r="S49" s="53">
        <v>1560000.0</v>
      </c>
      <c r="T49" s="53" t="s">
        <v>226</v>
      </c>
      <c r="U49" s="54">
        <f>2.205*3500*1055.056*S49/(POWER(10,6)*1000)</f>
        <v>12702.1357</v>
      </c>
      <c r="V49" s="55"/>
      <c r="W49" s="55"/>
      <c r="X49" s="55"/>
      <c r="Y49" s="55"/>
    </row>
    <row r="50" ht="15.75" customHeight="1">
      <c r="A50" s="42">
        <v>2019.0</v>
      </c>
      <c r="B50" s="42" t="s">
        <v>186</v>
      </c>
      <c r="C50" s="42" t="s">
        <v>144</v>
      </c>
      <c r="D50" s="42" t="s">
        <v>310</v>
      </c>
      <c r="E50" s="42" t="s">
        <v>306</v>
      </c>
      <c r="F50" s="42" t="s">
        <v>293</v>
      </c>
      <c r="G50" s="42" t="s">
        <v>200</v>
      </c>
      <c r="H50" s="90" t="s">
        <v>469</v>
      </c>
      <c r="I50" s="42">
        <v>25759.0</v>
      </c>
      <c r="J50" s="42">
        <f>200/1000</f>
        <v>0.2</v>
      </c>
      <c r="K50" s="42">
        <f t="shared" si="16"/>
        <v>1880.407</v>
      </c>
      <c r="P50" s="52" t="s">
        <v>46</v>
      </c>
      <c r="Q50" s="53" t="s">
        <v>183</v>
      </c>
      <c r="R50" s="53" t="s">
        <v>184</v>
      </c>
      <c r="S50" s="53">
        <v>1700000.0</v>
      </c>
      <c r="T50" s="53" t="s">
        <v>226</v>
      </c>
      <c r="U50" s="54">
        <f>+S50*3600000/POWER(10,12)</f>
        <v>6.12</v>
      </c>
      <c r="V50" s="55"/>
      <c r="W50" s="55"/>
      <c r="X50" s="55"/>
      <c r="Y50" s="55"/>
    </row>
    <row r="51" ht="15.75" customHeight="1">
      <c r="E51" s="53"/>
      <c r="F51" s="53"/>
      <c r="G51" s="53"/>
      <c r="H51" s="53"/>
      <c r="I51" s="53"/>
      <c r="J51" s="53"/>
      <c r="K51" s="53"/>
      <c r="P51" s="52" t="s">
        <v>46</v>
      </c>
      <c r="Q51" s="53" t="s">
        <v>221</v>
      </c>
      <c r="R51" s="53" t="s">
        <v>208</v>
      </c>
      <c r="S51" s="53">
        <v>1.95E7</v>
      </c>
      <c r="T51" s="53" t="s">
        <v>226</v>
      </c>
      <c r="U51" s="54">
        <f t="shared" ref="U51:U53" si="18">+S51*3600000*41.67/POWER(10,12)</f>
        <v>2925.234</v>
      </c>
      <c r="V51" s="55"/>
      <c r="W51" s="55"/>
      <c r="X51" s="55"/>
      <c r="Y51" s="55"/>
      <c r="Z51" s="55"/>
    </row>
    <row r="52" ht="15.75" customHeight="1">
      <c r="E52" s="53"/>
      <c r="F52" s="53"/>
      <c r="G52" s="53"/>
      <c r="H52" s="53"/>
      <c r="I52" s="53"/>
      <c r="J52" s="53"/>
      <c r="K52" s="53"/>
      <c r="P52" s="52" t="s">
        <v>46</v>
      </c>
      <c r="Q52" s="53" t="s">
        <v>207</v>
      </c>
      <c r="R52" s="53" t="s">
        <v>208</v>
      </c>
      <c r="S52" s="96">
        <v>2577213.79197041</v>
      </c>
      <c r="T52" s="53" t="s">
        <v>226</v>
      </c>
      <c r="U52" s="54">
        <f t="shared" si="18"/>
        <v>386.6129954</v>
      </c>
      <c r="V52" s="55"/>
      <c r="W52" s="55"/>
      <c r="X52" s="55"/>
      <c r="Y52" s="55"/>
      <c r="Z52" s="55"/>
    </row>
    <row r="53" ht="15.75" customHeight="1">
      <c r="E53" s="53"/>
      <c r="F53" s="53"/>
      <c r="G53" s="53"/>
      <c r="H53" s="53"/>
      <c r="I53" s="53"/>
      <c r="J53" s="53"/>
      <c r="K53" s="53"/>
      <c r="P53" s="62" t="s">
        <v>46</v>
      </c>
      <c r="Q53" s="64" t="s">
        <v>215</v>
      </c>
      <c r="R53" s="64" t="s">
        <v>208</v>
      </c>
      <c r="S53" s="103">
        <v>4.952975037695979E7</v>
      </c>
      <c r="T53" s="64" t="s">
        <v>226</v>
      </c>
      <c r="U53" s="65">
        <f t="shared" si="18"/>
        <v>7430.056914</v>
      </c>
      <c r="V53" s="55"/>
      <c r="W53" s="55"/>
      <c r="X53" s="55"/>
      <c r="Y53" s="55"/>
      <c r="Z53" s="60">
        <f>+U53*(1-0.37)</f>
        <v>4680.935856</v>
      </c>
      <c r="AA53" s="60">
        <f>+Z53+U51</f>
        <v>7606.169856</v>
      </c>
    </row>
    <row r="54" ht="15.75" customHeight="1">
      <c r="E54" s="53"/>
      <c r="F54" s="53"/>
      <c r="G54" s="53"/>
      <c r="H54" s="53"/>
      <c r="I54" s="53"/>
      <c r="J54" s="53"/>
      <c r="K54" s="53"/>
    </row>
    <row r="55" ht="15.75" customHeight="1">
      <c r="E55" s="53"/>
      <c r="F55" s="53"/>
      <c r="G55" s="53"/>
      <c r="H55" s="53"/>
      <c r="I55" s="53"/>
      <c r="J55" s="53"/>
      <c r="K55" s="53"/>
    </row>
    <row r="56" ht="15.75" customHeight="1">
      <c r="E56" s="53"/>
      <c r="F56" s="53"/>
      <c r="G56" s="53"/>
      <c r="H56" s="53"/>
      <c r="I56" s="53"/>
      <c r="J56" s="53"/>
      <c r="K56" s="53"/>
    </row>
    <row r="57" ht="15.75" customHeight="1">
      <c r="E57" s="53"/>
      <c r="F57" s="53"/>
      <c r="G57" s="53"/>
      <c r="H57" s="53"/>
      <c r="I57" s="53"/>
      <c r="J57" s="53"/>
      <c r="K57" s="53"/>
    </row>
    <row r="58" ht="15.75" customHeight="1">
      <c r="E58" s="53"/>
      <c r="F58" s="53"/>
      <c r="G58" s="53"/>
      <c r="H58" s="53"/>
      <c r="I58" s="53"/>
      <c r="J58" s="53"/>
      <c r="K58" s="53"/>
    </row>
    <row r="59" ht="15.75" customHeight="1">
      <c r="E59" s="53"/>
      <c r="F59" s="53"/>
      <c r="G59" s="53"/>
      <c r="H59" s="53"/>
      <c r="I59" s="53"/>
      <c r="J59" s="53"/>
      <c r="K59" s="53"/>
    </row>
    <row r="60" ht="15.75" customHeight="1">
      <c r="E60" s="53"/>
      <c r="F60" s="53"/>
      <c r="G60" s="53"/>
      <c r="H60" s="53"/>
      <c r="I60" s="53"/>
      <c r="J60" s="53"/>
      <c r="K60" s="53"/>
    </row>
    <row r="61" ht="15.75" customHeight="1">
      <c r="E61" s="53"/>
      <c r="F61" s="53"/>
      <c r="G61" s="53"/>
      <c r="H61" s="53"/>
      <c r="I61" s="53"/>
      <c r="J61" s="53"/>
      <c r="K61" s="53"/>
    </row>
    <row r="62" ht="15.75" customHeight="1">
      <c r="E62" s="53"/>
      <c r="F62" s="53"/>
      <c r="G62" s="53"/>
      <c r="H62" s="53"/>
      <c r="I62" s="53"/>
      <c r="J62" s="53"/>
      <c r="K62" s="53"/>
    </row>
    <row r="63" ht="15.75" customHeight="1">
      <c r="E63" s="53"/>
      <c r="F63" s="53"/>
      <c r="G63" s="53"/>
      <c r="H63" s="53"/>
      <c r="I63" s="53"/>
      <c r="J63" s="53"/>
      <c r="K63" s="53"/>
    </row>
    <row r="64" ht="15.75" customHeight="1">
      <c r="E64" s="53"/>
      <c r="F64" s="53"/>
      <c r="G64" s="53"/>
      <c r="H64" s="53"/>
      <c r="I64" s="53"/>
      <c r="J64" s="53"/>
      <c r="K64" s="53"/>
    </row>
    <row r="65" ht="15.75" customHeight="1">
      <c r="E65" s="53"/>
      <c r="F65" s="53"/>
      <c r="G65" s="53"/>
      <c r="H65" s="53"/>
      <c r="I65" s="53"/>
      <c r="J65" s="53"/>
      <c r="K65" s="53"/>
    </row>
    <row r="66" ht="15.75" customHeight="1">
      <c r="E66" s="53"/>
      <c r="F66" s="53"/>
      <c r="G66" s="53"/>
      <c r="H66" s="53"/>
      <c r="I66" s="53"/>
      <c r="J66" s="53"/>
      <c r="K66" s="53"/>
    </row>
    <row r="67" ht="15.75" customHeight="1">
      <c r="E67" s="53"/>
      <c r="F67" s="53"/>
      <c r="G67" s="53"/>
      <c r="H67" s="53"/>
      <c r="I67" s="53"/>
      <c r="J67" s="53"/>
      <c r="K67" s="53"/>
    </row>
    <row r="68" ht="15.75" customHeight="1">
      <c r="E68" s="53"/>
      <c r="F68" s="53"/>
      <c r="G68" s="53"/>
      <c r="H68" s="53"/>
      <c r="I68" s="53"/>
      <c r="J68" s="53"/>
      <c r="K68" s="53"/>
    </row>
    <row r="69" ht="15.75" customHeight="1">
      <c r="E69" s="53"/>
      <c r="F69" s="53"/>
      <c r="G69" s="53"/>
      <c r="H69" s="53"/>
      <c r="I69" s="53"/>
      <c r="J69" s="53"/>
      <c r="K69" s="53"/>
    </row>
    <row r="70" ht="15.75" customHeight="1">
      <c r="E70" s="53"/>
      <c r="F70" s="53"/>
      <c r="G70" s="53"/>
      <c r="H70" s="53"/>
      <c r="I70" s="53"/>
      <c r="J70" s="53"/>
      <c r="K70" s="53"/>
    </row>
    <row r="71" ht="15.75" customHeight="1">
      <c r="E71" s="53"/>
      <c r="F71" s="53"/>
      <c r="G71" s="53"/>
      <c r="H71" s="53"/>
      <c r="I71" s="53"/>
      <c r="J71" s="53"/>
      <c r="K71" s="53"/>
    </row>
    <row r="72" ht="15.75" customHeight="1">
      <c r="E72" s="53"/>
      <c r="F72" s="53"/>
      <c r="G72" s="53"/>
      <c r="H72" s="53"/>
      <c r="I72" s="53"/>
      <c r="J72" s="53"/>
      <c r="K72" s="53"/>
    </row>
    <row r="73" ht="15.75" customHeight="1">
      <c r="E73" s="53"/>
      <c r="F73" s="53"/>
      <c r="G73" s="53"/>
      <c r="H73" s="53"/>
      <c r="I73" s="53"/>
      <c r="J73" s="53"/>
      <c r="K73" s="53"/>
    </row>
    <row r="74" ht="15.75" customHeight="1">
      <c r="E74" s="53"/>
      <c r="F74" s="53"/>
      <c r="G74" s="53"/>
      <c r="H74" s="53"/>
      <c r="I74" s="53"/>
      <c r="J74" s="53"/>
      <c r="K74" s="53"/>
    </row>
    <row r="75" ht="15.75" customHeight="1">
      <c r="E75" s="53"/>
      <c r="F75" s="53"/>
      <c r="G75" s="53"/>
      <c r="H75" s="53"/>
      <c r="I75" s="53"/>
      <c r="J75" s="53"/>
      <c r="K75" s="53"/>
    </row>
    <row r="76" ht="15.75" customHeight="1">
      <c r="E76" s="53"/>
      <c r="F76" s="53"/>
      <c r="G76" s="53"/>
      <c r="H76" s="53"/>
      <c r="I76" s="53"/>
      <c r="J76" s="53"/>
      <c r="K76" s="53"/>
    </row>
    <row r="77" ht="15.75" customHeight="1">
      <c r="E77" s="53"/>
      <c r="F77" s="53"/>
      <c r="G77" s="53"/>
      <c r="H77" s="53"/>
      <c r="I77" s="53"/>
      <c r="J77" s="53"/>
      <c r="K77" s="53"/>
    </row>
    <row r="78" ht="15.75" customHeight="1">
      <c r="E78" s="53"/>
      <c r="F78" s="53"/>
      <c r="G78" s="53"/>
      <c r="H78" s="53"/>
      <c r="I78" s="53"/>
      <c r="J78" s="53"/>
      <c r="K78" s="53"/>
    </row>
    <row r="79" ht="15.75" customHeight="1">
      <c r="E79" s="53"/>
      <c r="F79" s="53"/>
      <c r="G79" s="53"/>
      <c r="H79" s="53"/>
      <c r="I79" s="53"/>
      <c r="J79" s="53"/>
      <c r="K79" s="53"/>
    </row>
    <row r="80" ht="15.75" customHeight="1">
      <c r="E80" s="53"/>
      <c r="F80" s="53"/>
      <c r="G80" s="53"/>
      <c r="H80" s="53"/>
      <c r="I80" s="53"/>
      <c r="J80" s="53"/>
      <c r="K80" s="53"/>
    </row>
    <row r="81" ht="15.75" customHeight="1">
      <c r="E81" s="53"/>
      <c r="F81" s="53"/>
      <c r="G81" s="53"/>
      <c r="H81" s="53"/>
      <c r="I81" s="53"/>
      <c r="J81" s="53"/>
      <c r="K81" s="53"/>
    </row>
    <row r="82" ht="15.75" customHeight="1">
      <c r="E82" s="53"/>
      <c r="F82" s="53"/>
      <c r="G82" s="53"/>
      <c r="H82" s="53"/>
      <c r="I82" s="53"/>
      <c r="J82" s="53"/>
      <c r="K82" s="53"/>
    </row>
    <row r="83" ht="15.75" customHeight="1">
      <c r="E83" s="53"/>
      <c r="F83" s="53"/>
      <c r="G83" s="53"/>
      <c r="H83" s="53"/>
      <c r="I83" s="53"/>
      <c r="J83" s="53"/>
      <c r="K83" s="53"/>
    </row>
    <row r="84" ht="15.75" customHeight="1">
      <c r="E84" s="53"/>
      <c r="F84" s="53"/>
      <c r="G84" s="53"/>
      <c r="H84" s="53"/>
      <c r="I84" s="53"/>
      <c r="J84" s="53"/>
      <c r="K84" s="53"/>
    </row>
    <row r="85" ht="15.75" customHeight="1">
      <c r="E85" s="53"/>
      <c r="F85" s="53"/>
      <c r="G85" s="53"/>
      <c r="H85" s="53"/>
      <c r="I85" s="53"/>
      <c r="J85" s="53"/>
      <c r="K85" s="53"/>
    </row>
    <row r="86" ht="15.75" customHeight="1">
      <c r="E86" s="53"/>
      <c r="F86" s="53"/>
      <c r="G86" s="53"/>
      <c r="H86" s="53"/>
      <c r="I86" s="53"/>
      <c r="J86" s="53"/>
      <c r="K86" s="53"/>
    </row>
    <row r="87" ht="15.75" customHeight="1">
      <c r="E87" s="53"/>
      <c r="F87" s="53"/>
      <c r="G87" s="53"/>
      <c r="H87" s="53"/>
      <c r="I87" s="53"/>
      <c r="J87" s="53"/>
      <c r="K87" s="53"/>
    </row>
    <row r="88" ht="15.75" customHeight="1">
      <c r="E88" s="53"/>
      <c r="F88" s="53"/>
      <c r="G88" s="53"/>
      <c r="H88" s="53"/>
      <c r="I88" s="53"/>
      <c r="J88" s="53"/>
      <c r="K88" s="53"/>
    </row>
    <row r="89" ht="15.75" customHeight="1">
      <c r="E89" s="53"/>
      <c r="F89" s="53"/>
      <c r="G89" s="53"/>
      <c r="H89" s="53"/>
      <c r="I89" s="53"/>
      <c r="J89" s="53"/>
      <c r="K89" s="53"/>
    </row>
    <row r="90" ht="15.75" customHeight="1">
      <c r="E90" s="53"/>
      <c r="F90" s="53"/>
      <c r="G90" s="53"/>
      <c r="H90" s="53"/>
      <c r="I90" s="53"/>
      <c r="J90" s="53"/>
      <c r="K90" s="53"/>
    </row>
    <row r="91" ht="15.75" customHeight="1">
      <c r="E91" s="53"/>
      <c r="F91" s="53"/>
      <c r="G91" s="53"/>
      <c r="H91" s="53"/>
      <c r="I91" s="53"/>
      <c r="J91" s="53"/>
      <c r="K91" s="53"/>
    </row>
    <row r="92" ht="15.75" customHeight="1">
      <c r="E92" s="53"/>
      <c r="F92" s="53"/>
      <c r="G92" s="53"/>
      <c r="H92" s="53"/>
      <c r="I92" s="53"/>
      <c r="J92" s="53"/>
      <c r="K92" s="53"/>
    </row>
    <row r="93" ht="15.75" customHeight="1">
      <c r="E93" s="53"/>
      <c r="F93" s="53"/>
      <c r="G93" s="53"/>
      <c r="H93" s="53"/>
      <c r="I93" s="53"/>
      <c r="J93" s="53"/>
      <c r="K93" s="53"/>
    </row>
    <row r="94" ht="15.75" customHeight="1">
      <c r="E94" s="53"/>
      <c r="F94" s="53"/>
      <c r="G94" s="53"/>
      <c r="H94" s="53"/>
      <c r="I94" s="53"/>
      <c r="J94" s="53"/>
      <c r="K94" s="53"/>
    </row>
    <row r="95" ht="15.75" customHeight="1">
      <c r="E95" s="53"/>
      <c r="F95" s="53"/>
      <c r="G95" s="53"/>
      <c r="H95" s="53"/>
      <c r="I95" s="53"/>
      <c r="J95" s="53"/>
      <c r="K95" s="53"/>
    </row>
    <row r="96" ht="15.75" customHeight="1">
      <c r="E96" s="53"/>
      <c r="F96" s="53"/>
      <c r="G96" s="53"/>
      <c r="H96" s="53"/>
      <c r="I96" s="53"/>
      <c r="J96" s="53"/>
      <c r="K96" s="53"/>
    </row>
    <row r="97" ht="15.75" customHeight="1">
      <c r="E97" s="53"/>
      <c r="F97" s="53"/>
      <c r="G97" s="53"/>
      <c r="H97" s="53"/>
      <c r="I97" s="53"/>
      <c r="J97" s="53"/>
      <c r="K97" s="53"/>
    </row>
    <row r="98" ht="15.75" customHeight="1">
      <c r="E98" s="53"/>
      <c r="F98" s="53"/>
      <c r="G98" s="53"/>
      <c r="H98" s="53"/>
      <c r="I98" s="53"/>
      <c r="J98" s="53"/>
      <c r="K98" s="53"/>
    </row>
    <row r="99" ht="15.75" customHeight="1">
      <c r="E99" s="53"/>
      <c r="F99" s="53"/>
      <c r="G99" s="53"/>
      <c r="H99" s="53"/>
      <c r="I99" s="53"/>
      <c r="J99" s="53"/>
      <c r="K99" s="53"/>
    </row>
    <row r="100" ht="15.75" customHeight="1">
      <c r="E100" s="53"/>
      <c r="F100" s="53"/>
      <c r="G100" s="53"/>
      <c r="H100" s="53"/>
      <c r="I100" s="53"/>
      <c r="J100" s="53"/>
      <c r="K100" s="53"/>
    </row>
    <row r="101" ht="15.75" customHeight="1">
      <c r="E101" s="53"/>
      <c r="F101" s="53"/>
      <c r="G101" s="53"/>
      <c r="H101" s="53"/>
      <c r="I101" s="53"/>
      <c r="J101" s="53"/>
      <c r="K101" s="53"/>
    </row>
    <row r="102" ht="15.75" customHeight="1">
      <c r="E102" s="53"/>
      <c r="F102" s="53"/>
      <c r="G102" s="53"/>
      <c r="H102" s="53"/>
      <c r="I102" s="53"/>
      <c r="J102" s="53"/>
      <c r="K102" s="53"/>
    </row>
    <row r="103" ht="15.75" customHeight="1">
      <c r="E103" s="53"/>
      <c r="F103" s="53"/>
      <c r="G103" s="53"/>
      <c r="H103" s="53"/>
      <c r="I103" s="53"/>
      <c r="J103" s="53"/>
      <c r="K103" s="53"/>
    </row>
    <row r="104" ht="15.75" customHeight="1">
      <c r="E104" s="53"/>
      <c r="F104" s="53"/>
      <c r="G104" s="53"/>
      <c r="H104" s="53"/>
      <c r="I104" s="53"/>
      <c r="J104" s="53"/>
      <c r="K104" s="53"/>
    </row>
    <row r="105" ht="15.75" customHeight="1">
      <c r="E105" s="53"/>
      <c r="F105" s="53"/>
      <c r="G105" s="53"/>
      <c r="H105" s="53"/>
      <c r="I105" s="53"/>
      <c r="J105" s="53"/>
      <c r="K105" s="53"/>
    </row>
    <row r="106" ht="15.75" customHeight="1">
      <c r="E106" s="53"/>
      <c r="F106" s="53"/>
      <c r="G106" s="53"/>
      <c r="H106" s="53"/>
      <c r="I106" s="53"/>
      <c r="J106" s="53"/>
      <c r="K106" s="53"/>
    </row>
    <row r="107" ht="15.75" customHeight="1">
      <c r="E107" s="53"/>
      <c r="F107" s="53"/>
      <c r="G107" s="53"/>
      <c r="H107" s="53"/>
      <c r="I107" s="53"/>
      <c r="J107" s="53"/>
      <c r="K107" s="53"/>
    </row>
    <row r="108" ht="15.75" customHeight="1">
      <c r="E108" s="53"/>
      <c r="F108" s="53"/>
      <c r="G108" s="53"/>
      <c r="H108" s="53"/>
      <c r="I108" s="53"/>
      <c r="J108" s="53"/>
      <c r="K108" s="53"/>
    </row>
    <row r="109" ht="15.75" customHeight="1">
      <c r="E109" s="53"/>
      <c r="F109" s="53"/>
      <c r="G109" s="53"/>
      <c r="H109" s="53"/>
      <c r="I109" s="53"/>
      <c r="J109" s="53"/>
      <c r="K109" s="53"/>
    </row>
    <row r="110" ht="15.75" customHeight="1">
      <c r="E110" s="53"/>
      <c r="F110" s="53"/>
      <c r="G110" s="53"/>
      <c r="H110" s="53"/>
      <c r="I110" s="53"/>
      <c r="J110" s="53"/>
      <c r="K110" s="53"/>
    </row>
    <row r="111" ht="15.75" customHeight="1">
      <c r="E111" s="53"/>
      <c r="F111" s="53"/>
      <c r="G111" s="53"/>
      <c r="H111" s="53"/>
      <c r="I111" s="53"/>
      <c r="J111" s="53"/>
      <c r="K111" s="53"/>
    </row>
    <row r="112" ht="15.75" customHeight="1">
      <c r="E112" s="53"/>
      <c r="F112" s="53"/>
      <c r="G112" s="53"/>
      <c r="H112" s="53"/>
      <c r="I112" s="53"/>
      <c r="J112" s="53"/>
      <c r="K112" s="53"/>
    </row>
    <row r="113" ht="15.75" customHeight="1">
      <c r="E113" s="53"/>
      <c r="F113" s="53"/>
      <c r="G113" s="53"/>
      <c r="H113" s="53"/>
      <c r="I113" s="53"/>
      <c r="J113" s="53"/>
      <c r="K113" s="53"/>
    </row>
    <row r="114" ht="15.75" customHeight="1">
      <c r="E114" s="53"/>
      <c r="F114" s="53"/>
      <c r="G114" s="53"/>
      <c r="H114" s="53"/>
      <c r="I114" s="53"/>
      <c r="J114" s="53"/>
      <c r="K114" s="53"/>
    </row>
    <row r="115" ht="15.75" customHeight="1">
      <c r="E115" s="53"/>
      <c r="F115" s="53"/>
      <c r="G115" s="53"/>
      <c r="H115" s="53"/>
      <c r="I115" s="53"/>
      <c r="J115" s="53"/>
      <c r="K115" s="53"/>
    </row>
    <row r="116" ht="15.75" customHeight="1">
      <c r="E116" s="53"/>
      <c r="F116" s="53"/>
      <c r="G116" s="53"/>
      <c r="H116" s="53"/>
      <c r="I116" s="53"/>
      <c r="J116" s="53"/>
      <c r="K116" s="53"/>
    </row>
    <row r="117" ht="15.75" customHeight="1">
      <c r="E117" s="53"/>
      <c r="F117" s="53"/>
      <c r="G117" s="53"/>
      <c r="H117" s="53"/>
      <c r="I117" s="53"/>
      <c r="J117" s="53"/>
      <c r="K117" s="53"/>
    </row>
    <row r="118" ht="15.75" customHeight="1">
      <c r="E118" s="53"/>
      <c r="F118" s="53"/>
      <c r="G118" s="53"/>
      <c r="H118" s="53"/>
      <c r="I118" s="53"/>
      <c r="J118" s="53"/>
      <c r="K118" s="53"/>
    </row>
    <row r="119" ht="15.75" customHeight="1">
      <c r="E119" s="53"/>
      <c r="F119" s="53"/>
      <c r="G119" s="53"/>
      <c r="H119" s="53"/>
      <c r="I119" s="53"/>
      <c r="J119" s="53"/>
      <c r="K119" s="53"/>
    </row>
    <row r="120" ht="15.75" customHeight="1">
      <c r="E120" s="53"/>
      <c r="F120" s="53"/>
      <c r="G120" s="53"/>
      <c r="H120" s="53"/>
      <c r="I120" s="53"/>
      <c r="J120" s="53"/>
      <c r="K120" s="53"/>
    </row>
    <row r="121" ht="15.75" customHeight="1">
      <c r="E121" s="53"/>
      <c r="F121" s="53"/>
      <c r="G121" s="53"/>
      <c r="H121" s="53"/>
      <c r="I121" s="53"/>
      <c r="J121" s="53"/>
      <c r="K121" s="53"/>
    </row>
    <row r="122" ht="15.75" customHeight="1">
      <c r="E122" s="53"/>
      <c r="F122" s="53"/>
      <c r="G122" s="53"/>
      <c r="H122" s="53"/>
      <c r="I122" s="53"/>
      <c r="J122" s="53"/>
      <c r="K122" s="53"/>
    </row>
    <row r="123" ht="15.75" customHeight="1">
      <c r="E123" s="53"/>
      <c r="F123" s="53"/>
      <c r="G123" s="53"/>
      <c r="H123" s="53"/>
      <c r="I123" s="53"/>
      <c r="J123" s="53"/>
      <c r="K123" s="53"/>
    </row>
    <row r="124" ht="15.75" customHeight="1">
      <c r="E124" s="53"/>
      <c r="F124" s="53"/>
      <c r="G124" s="53"/>
      <c r="H124" s="53"/>
      <c r="I124" s="53"/>
      <c r="J124" s="53"/>
      <c r="K124" s="53"/>
    </row>
    <row r="125" ht="15.75" customHeight="1">
      <c r="E125" s="53"/>
      <c r="F125" s="53"/>
      <c r="G125" s="53"/>
      <c r="H125" s="53"/>
      <c r="I125" s="53"/>
      <c r="J125" s="53"/>
      <c r="K125" s="53"/>
    </row>
    <row r="126" ht="15.75" customHeight="1">
      <c r="E126" s="53"/>
      <c r="F126" s="53"/>
      <c r="G126" s="53"/>
      <c r="H126" s="53"/>
      <c r="I126" s="53"/>
      <c r="J126" s="53"/>
      <c r="K126" s="53"/>
    </row>
    <row r="127" ht="15.75" customHeight="1">
      <c r="E127" s="53"/>
      <c r="F127" s="53"/>
      <c r="G127" s="53"/>
      <c r="H127" s="53"/>
      <c r="I127" s="53"/>
      <c r="J127" s="53"/>
      <c r="K127" s="53"/>
    </row>
    <row r="128" ht="15.75" customHeight="1">
      <c r="E128" s="53"/>
      <c r="F128" s="53"/>
      <c r="G128" s="53"/>
      <c r="H128" s="53"/>
      <c r="I128" s="53"/>
      <c r="J128" s="53"/>
      <c r="K128" s="53"/>
    </row>
    <row r="129" ht="15.75" customHeight="1">
      <c r="E129" s="53"/>
      <c r="F129" s="53"/>
      <c r="G129" s="53"/>
      <c r="H129" s="53"/>
      <c r="I129" s="53"/>
      <c r="J129" s="53"/>
      <c r="K129" s="53"/>
    </row>
    <row r="130" ht="15.75" customHeight="1">
      <c r="E130" s="53"/>
      <c r="F130" s="53"/>
      <c r="G130" s="53"/>
      <c r="H130" s="53"/>
      <c r="I130" s="53"/>
      <c r="J130" s="53"/>
      <c r="K130" s="53"/>
    </row>
    <row r="131" ht="15.75" customHeight="1">
      <c r="E131" s="53"/>
      <c r="F131" s="53"/>
      <c r="G131" s="53"/>
      <c r="H131" s="53"/>
      <c r="I131" s="53"/>
      <c r="J131" s="53"/>
      <c r="K131" s="53"/>
    </row>
    <row r="132" ht="15.75" customHeight="1">
      <c r="E132" s="53"/>
      <c r="F132" s="53"/>
      <c r="G132" s="53"/>
      <c r="H132" s="53"/>
      <c r="I132" s="53"/>
      <c r="J132" s="53"/>
      <c r="K132" s="53"/>
    </row>
    <row r="133" ht="15.75" customHeight="1">
      <c r="E133" s="53"/>
      <c r="F133" s="53"/>
      <c r="G133" s="53"/>
      <c r="H133" s="53"/>
      <c r="I133" s="53"/>
      <c r="J133" s="53"/>
      <c r="K133" s="53"/>
    </row>
    <row r="134" ht="15.75" customHeight="1">
      <c r="E134" s="53"/>
      <c r="F134" s="53"/>
      <c r="G134" s="53"/>
      <c r="H134" s="53"/>
      <c r="I134" s="53"/>
      <c r="J134" s="53"/>
      <c r="K134" s="53"/>
    </row>
    <row r="135" ht="15.75" customHeight="1">
      <c r="E135" s="53"/>
      <c r="F135" s="53"/>
      <c r="G135" s="53"/>
      <c r="H135" s="53"/>
      <c r="I135" s="53"/>
      <c r="J135" s="53"/>
      <c r="K135" s="53"/>
    </row>
    <row r="136" ht="15.75" customHeight="1">
      <c r="E136" s="53"/>
      <c r="F136" s="53"/>
      <c r="G136" s="53"/>
      <c r="H136" s="53"/>
      <c r="I136" s="53"/>
      <c r="J136" s="53"/>
      <c r="K136" s="53"/>
    </row>
    <row r="137" ht="15.75" customHeight="1">
      <c r="E137" s="53"/>
      <c r="F137" s="53"/>
      <c r="G137" s="53"/>
      <c r="H137" s="53"/>
      <c r="I137" s="53"/>
      <c r="J137" s="53"/>
      <c r="K137" s="53"/>
    </row>
    <row r="138" ht="15.75" customHeight="1">
      <c r="E138" s="53"/>
      <c r="F138" s="53"/>
      <c r="G138" s="53"/>
      <c r="H138" s="53"/>
      <c r="I138" s="53"/>
      <c r="J138" s="53"/>
      <c r="K138" s="53"/>
    </row>
    <row r="139" ht="15.75" customHeight="1">
      <c r="E139" s="53"/>
      <c r="F139" s="53"/>
      <c r="G139" s="53"/>
      <c r="H139" s="53"/>
      <c r="I139" s="53"/>
      <c r="J139" s="53"/>
      <c r="K139" s="53"/>
    </row>
    <row r="140" ht="15.75" customHeight="1">
      <c r="E140" s="53"/>
      <c r="F140" s="53"/>
      <c r="G140" s="53"/>
      <c r="H140" s="53"/>
      <c r="I140" s="53"/>
      <c r="J140" s="53"/>
      <c r="K140" s="53"/>
    </row>
    <row r="141" ht="15.75" customHeight="1">
      <c r="E141" s="53"/>
      <c r="F141" s="53"/>
      <c r="G141" s="53"/>
      <c r="H141" s="53"/>
      <c r="I141" s="53"/>
      <c r="J141" s="53"/>
      <c r="K141" s="53"/>
    </row>
    <row r="142" ht="15.75" customHeight="1">
      <c r="E142" s="53"/>
      <c r="F142" s="53"/>
      <c r="G142" s="53"/>
      <c r="H142" s="53"/>
      <c r="I142" s="53"/>
      <c r="J142" s="53"/>
      <c r="K142" s="53"/>
    </row>
    <row r="143" ht="15.75" customHeight="1">
      <c r="E143" s="53"/>
      <c r="F143" s="53"/>
      <c r="G143" s="53"/>
      <c r="H143" s="53"/>
      <c r="I143" s="53"/>
      <c r="J143" s="53"/>
      <c r="K143" s="53"/>
    </row>
    <row r="144" ht="15.75" customHeight="1">
      <c r="E144" s="53"/>
      <c r="F144" s="53"/>
      <c r="G144" s="53"/>
      <c r="H144" s="53"/>
      <c r="I144" s="53"/>
      <c r="J144" s="53"/>
      <c r="K144" s="53"/>
    </row>
    <row r="145" ht="15.75" customHeight="1">
      <c r="E145" s="53"/>
      <c r="F145" s="53"/>
      <c r="G145" s="53"/>
      <c r="H145" s="53"/>
      <c r="I145" s="53"/>
      <c r="J145" s="53"/>
      <c r="K145" s="53"/>
    </row>
    <row r="146" ht="15.75" customHeight="1">
      <c r="E146" s="53"/>
      <c r="F146" s="53"/>
      <c r="G146" s="53"/>
      <c r="H146" s="53"/>
      <c r="I146" s="53"/>
      <c r="J146" s="53"/>
      <c r="K146" s="53"/>
    </row>
    <row r="147" ht="15.75" customHeight="1">
      <c r="E147" s="53"/>
      <c r="F147" s="53"/>
      <c r="G147" s="53"/>
      <c r="H147" s="53"/>
      <c r="I147" s="53"/>
      <c r="J147" s="53"/>
      <c r="K147" s="53"/>
    </row>
    <row r="148" ht="15.75" customHeight="1">
      <c r="E148" s="53"/>
      <c r="F148" s="53"/>
      <c r="G148" s="53"/>
      <c r="H148" s="53"/>
      <c r="I148" s="53"/>
      <c r="J148" s="53"/>
      <c r="K148" s="53"/>
    </row>
    <row r="149" ht="15.75" customHeight="1">
      <c r="E149" s="53"/>
      <c r="F149" s="53"/>
      <c r="G149" s="53"/>
      <c r="H149" s="53"/>
      <c r="I149" s="53"/>
      <c r="J149" s="53"/>
      <c r="K149" s="53"/>
    </row>
    <row r="150" ht="15.75" customHeight="1">
      <c r="E150" s="53"/>
      <c r="F150" s="53"/>
      <c r="G150" s="53"/>
      <c r="H150" s="53"/>
      <c r="I150" s="53"/>
      <c r="J150" s="53"/>
      <c r="K150" s="53"/>
    </row>
    <row r="151" ht="15.75" customHeight="1">
      <c r="E151" s="53"/>
      <c r="F151" s="53"/>
      <c r="G151" s="53"/>
      <c r="H151" s="53"/>
      <c r="I151" s="53"/>
      <c r="J151" s="53"/>
      <c r="K151" s="53"/>
    </row>
    <row r="152" ht="15.75" customHeight="1">
      <c r="E152" s="53"/>
      <c r="F152" s="53"/>
      <c r="G152" s="53"/>
      <c r="H152" s="53"/>
      <c r="I152" s="53"/>
      <c r="J152" s="53"/>
      <c r="K152" s="53"/>
    </row>
    <row r="153" ht="15.75" customHeight="1">
      <c r="E153" s="53"/>
      <c r="F153" s="53"/>
      <c r="G153" s="53"/>
      <c r="H153" s="53"/>
      <c r="I153" s="53"/>
      <c r="J153" s="53"/>
      <c r="K153" s="53"/>
    </row>
    <row r="154" ht="15.75" customHeight="1">
      <c r="E154" s="53"/>
      <c r="F154" s="53"/>
      <c r="G154" s="53"/>
      <c r="H154" s="53"/>
      <c r="I154" s="53"/>
      <c r="J154" s="53"/>
      <c r="K154" s="53"/>
    </row>
    <row r="155" ht="15.75" customHeight="1">
      <c r="E155" s="53"/>
      <c r="F155" s="53"/>
      <c r="G155" s="53"/>
      <c r="H155" s="53"/>
      <c r="I155" s="53"/>
      <c r="J155" s="53"/>
      <c r="K155" s="53"/>
    </row>
    <row r="156" ht="15.75" customHeight="1">
      <c r="E156" s="53"/>
      <c r="F156" s="53"/>
      <c r="G156" s="53"/>
      <c r="H156" s="53"/>
      <c r="I156" s="53"/>
      <c r="J156" s="53"/>
      <c r="K156" s="53"/>
    </row>
    <row r="157" ht="15.75" customHeight="1">
      <c r="E157" s="53"/>
      <c r="F157" s="53"/>
      <c r="G157" s="53"/>
      <c r="H157" s="53"/>
      <c r="I157" s="53"/>
      <c r="J157" s="53"/>
      <c r="K157" s="53"/>
    </row>
    <row r="158" ht="15.75" customHeight="1">
      <c r="E158" s="53"/>
      <c r="F158" s="53"/>
      <c r="G158" s="53"/>
      <c r="H158" s="53"/>
      <c r="I158" s="53"/>
      <c r="J158" s="53"/>
      <c r="K158" s="53"/>
    </row>
    <row r="159" ht="15.75" customHeight="1">
      <c r="E159" s="53"/>
      <c r="F159" s="53"/>
      <c r="G159" s="53"/>
      <c r="H159" s="53"/>
      <c r="I159" s="53"/>
      <c r="J159" s="53"/>
      <c r="K159" s="53"/>
    </row>
    <row r="160" ht="15.75" customHeight="1">
      <c r="E160" s="53"/>
      <c r="F160" s="53"/>
      <c r="G160" s="53"/>
      <c r="H160" s="53"/>
      <c r="I160" s="53"/>
      <c r="J160" s="53"/>
      <c r="K160" s="53"/>
    </row>
    <row r="161" ht="15.75" customHeight="1">
      <c r="E161" s="53"/>
      <c r="F161" s="53"/>
      <c r="G161" s="53"/>
      <c r="H161" s="53"/>
      <c r="I161" s="53"/>
      <c r="J161" s="53"/>
      <c r="K161" s="53"/>
    </row>
    <row r="162" ht="15.75" customHeight="1">
      <c r="E162" s="53"/>
      <c r="F162" s="53"/>
      <c r="G162" s="53"/>
      <c r="H162" s="53"/>
      <c r="I162" s="53"/>
      <c r="J162" s="53"/>
      <c r="K162" s="53"/>
    </row>
    <row r="163" ht="15.75" customHeight="1">
      <c r="E163" s="53"/>
      <c r="F163" s="53"/>
      <c r="G163" s="53"/>
      <c r="H163" s="53"/>
      <c r="I163" s="53"/>
      <c r="J163" s="53"/>
      <c r="K163" s="53"/>
    </row>
    <row r="164" ht="15.75" customHeight="1">
      <c r="E164" s="53"/>
      <c r="F164" s="53"/>
      <c r="G164" s="53"/>
      <c r="H164" s="53"/>
      <c r="I164" s="53"/>
      <c r="J164" s="53"/>
      <c r="K164" s="53"/>
    </row>
    <row r="165" ht="15.75" customHeight="1">
      <c r="E165" s="53"/>
      <c r="F165" s="53"/>
      <c r="G165" s="53"/>
      <c r="H165" s="53"/>
      <c r="I165" s="53"/>
      <c r="J165" s="53"/>
      <c r="K165" s="53"/>
    </row>
    <row r="166" ht="15.75" customHeight="1">
      <c r="E166" s="53"/>
      <c r="F166" s="53"/>
      <c r="G166" s="53"/>
      <c r="H166" s="53"/>
      <c r="I166" s="53"/>
      <c r="J166" s="53"/>
      <c r="K166" s="53"/>
    </row>
    <row r="167" ht="15.75" customHeight="1">
      <c r="E167" s="53"/>
      <c r="F167" s="53"/>
      <c r="G167" s="53"/>
      <c r="H167" s="53"/>
      <c r="I167" s="53"/>
      <c r="J167" s="53"/>
      <c r="K167" s="53"/>
    </row>
    <row r="168" ht="15.75" customHeight="1">
      <c r="E168" s="53"/>
      <c r="F168" s="53"/>
      <c r="G168" s="53"/>
      <c r="H168" s="53"/>
      <c r="I168" s="53"/>
      <c r="J168" s="53"/>
      <c r="K168" s="53"/>
    </row>
    <row r="169" ht="15.75" customHeight="1">
      <c r="E169" s="53"/>
      <c r="F169" s="53"/>
      <c r="G169" s="53"/>
      <c r="H169" s="53"/>
      <c r="I169" s="53"/>
      <c r="J169" s="53"/>
      <c r="K169" s="53"/>
    </row>
    <row r="170" ht="15.75" customHeight="1">
      <c r="E170" s="53"/>
      <c r="F170" s="53"/>
      <c r="G170" s="53"/>
      <c r="H170" s="53"/>
      <c r="I170" s="53"/>
      <c r="J170" s="53"/>
      <c r="K170" s="53"/>
    </row>
    <row r="171" ht="15.75" customHeight="1">
      <c r="E171" s="53"/>
      <c r="F171" s="53"/>
      <c r="G171" s="53"/>
      <c r="H171" s="53"/>
      <c r="I171" s="53"/>
      <c r="J171" s="53"/>
      <c r="K171" s="53"/>
    </row>
    <row r="172" ht="15.75" customHeight="1">
      <c r="E172" s="53"/>
      <c r="F172" s="53"/>
      <c r="G172" s="53"/>
      <c r="H172" s="53"/>
      <c r="I172" s="53"/>
      <c r="J172" s="53"/>
      <c r="K172" s="53"/>
    </row>
    <row r="173" ht="15.75" customHeight="1">
      <c r="E173" s="53"/>
      <c r="F173" s="53"/>
      <c r="G173" s="53"/>
      <c r="H173" s="53"/>
      <c r="I173" s="53"/>
      <c r="J173" s="53"/>
      <c r="K173" s="53"/>
    </row>
    <row r="174" ht="15.75" customHeight="1">
      <c r="E174" s="53"/>
      <c r="F174" s="53"/>
      <c r="G174" s="53"/>
      <c r="H174" s="53"/>
      <c r="I174" s="53"/>
      <c r="J174" s="53"/>
      <c r="K174" s="53"/>
    </row>
    <row r="175" ht="15.75" customHeight="1">
      <c r="E175" s="53"/>
      <c r="F175" s="53"/>
      <c r="G175" s="53"/>
      <c r="H175" s="53"/>
      <c r="I175" s="53"/>
      <c r="J175" s="53"/>
      <c r="K175" s="53"/>
    </row>
    <row r="176" ht="15.75" customHeight="1">
      <c r="E176" s="53"/>
      <c r="F176" s="53"/>
      <c r="G176" s="53"/>
      <c r="H176" s="53"/>
      <c r="I176" s="53"/>
      <c r="J176" s="53"/>
      <c r="K176" s="53"/>
    </row>
    <row r="177" ht="15.75" customHeight="1">
      <c r="E177" s="53"/>
      <c r="F177" s="53"/>
      <c r="G177" s="53"/>
      <c r="H177" s="53"/>
      <c r="I177" s="53"/>
      <c r="J177" s="53"/>
      <c r="K177" s="53"/>
    </row>
    <row r="178" ht="15.75" customHeight="1">
      <c r="E178" s="53"/>
      <c r="F178" s="53"/>
      <c r="G178" s="53"/>
      <c r="H178" s="53"/>
      <c r="I178" s="53"/>
      <c r="J178" s="53"/>
      <c r="K178" s="53"/>
    </row>
    <row r="179" ht="15.75" customHeight="1">
      <c r="E179" s="53"/>
      <c r="F179" s="53"/>
      <c r="G179" s="53"/>
      <c r="H179" s="53"/>
      <c r="I179" s="53"/>
      <c r="J179" s="53"/>
      <c r="K179" s="53"/>
    </row>
    <row r="180" ht="15.75" customHeight="1">
      <c r="E180" s="53"/>
      <c r="F180" s="53"/>
      <c r="G180" s="53"/>
      <c r="H180" s="53"/>
      <c r="I180" s="53"/>
      <c r="J180" s="53"/>
      <c r="K180" s="53"/>
    </row>
    <row r="181" ht="15.75" customHeight="1">
      <c r="E181" s="53"/>
      <c r="F181" s="53"/>
      <c r="G181" s="53"/>
      <c r="H181" s="53"/>
      <c r="I181" s="53"/>
      <c r="J181" s="53"/>
      <c r="K181" s="53"/>
    </row>
    <row r="182" ht="15.75" customHeight="1">
      <c r="E182" s="53"/>
      <c r="F182" s="53"/>
      <c r="G182" s="53"/>
      <c r="H182" s="53"/>
      <c r="I182" s="53"/>
      <c r="J182" s="53"/>
      <c r="K182" s="53"/>
    </row>
    <row r="183" ht="15.75" customHeight="1">
      <c r="E183" s="53"/>
      <c r="F183" s="53"/>
      <c r="G183" s="53"/>
      <c r="H183" s="53"/>
      <c r="I183" s="53"/>
      <c r="J183" s="53"/>
      <c r="K183" s="53"/>
    </row>
    <row r="184" ht="15.75" customHeight="1">
      <c r="E184" s="53"/>
      <c r="F184" s="53"/>
      <c r="G184" s="53"/>
      <c r="H184" s="53"/>
      <c r="I184" s="53"/>
      <c r="J184" s="53"/>
      <c r="K184" s="53"/>
    </row>
    <row r="185" ht="15.75" customHeight="1">
      <c r="E185" s="53"/>
      <c r="F185" s="53"/>
      <c r="G185" s="53"/>
      <c r="H185" s="53"/>
      <c r="I185" s="53"/>
      <c r="J185" s="53"/>
      <c r="K185" s="53"/>
    </row>
    <row r="186" ht="15.75" customHeight="1">
      <c r="E186" s="53"/>
      <c r="F186" s="53"/>
      <c r="G186" s="53"/>
      <c r="H186" s="53"/>
      <c r="I186" s="53"/>
      <c r="J186" s="53"/>
      <c r="K186" s="53"/>
    </row>
    <row r="187" ht="15.75" customHeight="1">
      <c r="E187" s="53"/>
      <c r="F187" s="53"/>
      <c r="G187" s="53"/>
      <c r="H187" s="53"/>
      <c r="I187" s="53"/>
      <c r="J187" s="53"/>
      <c r="K187" s="53"/>
    </row>
    <row r="188" ht="15.75" customHeight="1">
      <c r="E188" s="53"/>
      <c r="F188" s="53"/>
      <c r="G188" s="53"/>
      <c r="H188" s="53"/>
      <c r="I188" s="53"/>
      <c r="J188" s="53"/>
      <c r="K188" s="53"/>
    </row>
    <row r="189" ht="15.75" customHeight="1">
      <c r="E189" s="53"/>
      <c r="F189" s="53"/>
      <c r="G189" s="53"/>
      <c r="H189" s="53"/>
      <c r="I189" s="53"/>
      <c r="J189" s="53"/>
      <c r="K189" s="53"/>
    </row>
    <row r="190" ht="15.75" customHeight="1">
      <c r="E190" s="53"/>
      <c r="F190" s="53"/>
      <c r="G190" s="53"/>
      <c r="H190" s="53"/>
      <c r="I190" s="53"/>
      <c r="J190" s="53"/>
      <c r="K190" s="53"/>
    </row>
    <row r="191" ht="15.75" customHeight="1">
      <c r="E191" s="53"/>
      <c r="F191" s="53"/>
      <c r="G191" s="53"/>
      <c r="H191" s="53"/>
      <c r="I191" s="53"/>
      <c r="J191" s="53"/>
      <c r="K191" s="53"/>
    </row>
    <row r="192" ht="15.75" customHeight="1">
      <c r="E192" s="53"/>
      <c r="F192" s="53"/>
      <c r="G192" s="53"/>
      <c r="H192" s="53"/>
      <c r="I192" s="53"/>
      <c r="J192" s="53"/>
      <c r="K192" s="53"/>
    </row>
    <row r="193" ht="15.75" customHeight="1">
      <c r="E193" s="53"/>
      <c r="F193" s="53"/>
      <c r="G193" s="53"/>
      <c r="H193" s="53"/>
      <c r="I193" s="53"/>
      <c r="J193" s="53"/>
      <c r="K193" s="53"/>
    </row>
    <row r="194" ht="15.75" customHeight="1">
      <c r="E194" s="53"/>
      <c r="F194" s="53"/>
      <c r="G194" s="53"/>
      <c r="H194" s="53"/>
      <c r="I194" s="53"/>
      <c r="J194" s="53"/>
      <c r="K194" s="53"/>
    </row>
    <row r="195" ht="15.75" customHeight="1">
      <c r="E195" s="53"/>
      <c r="F195" s="53"/>
      <c r="G195" s="53"/>
      <c r="H195" s="53"/>
      <c r="I195" s="53"/>
      <c r="J195" s="53"/>
      <c r="K195" s="53"/>
    </row>
    <row r="196" ht="15.75" customHeight="1">
      <c r="E196" s="53"/>
      <c r="F196" s="53"/>
      <c r="G196" s="53"/>
      <c r="H196" s="53"/>
      <c r="I196" s="53"/>
      <c r="J196" s="53"/>
      <c r="K196" s="53"/>
    </row>
    <row r="197" ht="15.75" customHeight="1">
      <c r="E197" s="53"/>
      <c r="F197" s="53"/>
      <c r="G197" s="53"/>
      <c r="H197" s="53"/>
      <c r="I197" s="53"/>
      <c r="J197" s="53"/>
      <c r="K197" s="53"/>
    </row>
    <row r="198" ht="15.75" customHeight="1">
      <c r="E198" s="53"/>
      <c r="F198" s="53"/>
      <c r="G198" s="53"/>
      <c r="H198" s="53"/>
      <c r="I198" s="53"/>
      <c r="J198" s="53"/>
      <c r="K198" s="53"/>
    </row>
    <row r="199" ht="15.75" customHeight="1">
      <c r="E199" s="53"/>
      <c r="F199" s="53"/>
      <c r="G199" s="53"/>
      <c r="H199" s="53"/>
      <c r="I199" s="53"/>
      <c r="J199" s="53"/>
      <c r="K199" s="53"/>
    </row>
    <row r="200" ht="15.75" customHeight="1">
      <c r="E200" s="53"/>
      <c r="F200" s="53"/>
      <c r="G200" s="53"/>
      <c r="H200" s="53"/>
      <c r="I200" s="53"/>
      <c r="J200" s="53"/>
      <c r="K200" s="53"/>
    </row>
    <row r="201" ht="15.75" customHeight="1">
      <c r="E201" s="53"/>
      <c r="F201" s="53"/>
      <c r="G201" s="53"/>
      <c r="H201" s="53"/>
      <c r="I201" s="53"/>
      <c r="J201" s="53"/>
      <c r="K201" s="53"/>
    </row>
    <row r="202" ht="15.75" customHeight="1">
      <c r="E202" s="53"/>
      <c r="F202" s="53"/>
      <c r="G202" s="53"/>
      <c r="H202" s="53"/>
      <c r="I202" s="53"/>
      <c r="J202" s="53"/>
      <c r="K202" s="53"/>
    </row>
    <row r="203" ht="15.75" customHeight="1">
      <c r="E203" s="53"/>
      <c r="F203" s="53"/>
      <c r="G203" s="53"/>
      <c r="H203" s="53"/>
      <c r="I203" s="53"/>
      <c r="J203" s="53"/>
      <c r="K203" s="53"/>
    </row>
    <row r="204" ht="15.75" customHeight="1">
      <c r="E204" s="53"/>
      <c r="F204" s="53"/>
      <c r="G204" s="53"/>
      <c r="H204" s="53"/>
      <c r="I204" s="53"/>
      <c r="J204" s="53"/>
      <c r="K204" s="53"/>
    </row>
    <row r="205" ht="15.75" customHeight="1">
      <c r="E205" s="53"/>
      <c r="F205" s="53"/>
      <c r="G205" s="53"/>
      <c r="H205" s="53"/>
      <c r="I205" s="53"/>
      <c r="J205" s="53"/>
      <c r="K205" s="53"/>
    </row>
    <row r="206" ht="15.75" customHeight="1">
      <c r="E206" s="53"/>
      <c r="F206" s="53"/>
      <c r="G206" s="53"/>
      <c r="H206" s="53"/>
      <c r="I206" s="53"/>
      <c r="J206" s="53"/>
      <c r="K206" s="53"/>
    </row>
    <row r="207" ht="15.75" customHeight="1">
      <c r="E207" s="53"/>
      <c r="F207" s="53"/>
      <c r="G207" s="53"/>
      <c r="H207" s="53"/>
      <c r="I207" s="53"/>
      <c r="J207" s="53"/>
      <c r="K207" s="53"/>
    </row>
    <row r="208" ht="15.75" customHeight="1">
      <c r="E208" s="53"/>
      <c r="F208" s="53"/>
      <c r="G208" s="53"/>
      <c r="H208" s="53"/>
      <c r="I208" s="53"/>
      <c r="J208" s="53"/>
      <c r="K208" s="53"/>
    </row>
    <row r="209" ht="15.75" customHeight="1">
      <c r="E209" s="53"/>
      <c r="F209" s="53"/>
      <c r="G209" s="53"/>
      <c r="H209" s="53"/>
      <c r="I209" s="53"/>
      <c r="J209" s="53"/>
      <c r="K209" s="53"/>
    </row>
    <row r="210" ht="15.75" customHeight="1">
      <c r="E210" s="53"/>
      <c r="F210" s="53"/>
      <c r="G210" s="53"/>
      <c r="H210" s="53"/>
      <c r="I210" s="53"/>
      <c r="J210" s="53"/>
      <c r="K210" s="53"/>
    </row>
    <row r="211" ht="15.75" customHeight="1">
      <c r="E211" s="53"/>
      <c r="F211" s="53"/>
      <c r="G211" s="53"/>
      <c r="H211" s="53"/>
      <c r="I211" s="53"/>
      <c r="J211" s="53"/>
      <c r="K211" s="53"/>
    </row>
    <row r="212" ht="15.75" customHeight="1">
      <c r="E212" s="53"/>
      <c r="F212" s="53"/>
      <c r="G212" s="53"/>
      <c r="H212" s="53"/>
      <c r="I212" s="53"/>
      <c r="J212" s="53"/>
      <c r="K212" s="53"/>
    </row>
    <row r="213" ht="15.75" customHeight="1">
      <c r="E213" s="53"/>
      <c r="F213" s="53"/>
      <c r="G213" s="53"/>
      <c r="H213" s="53"/>
      <c r="I213" s="53"/>
      <c r="J213" s="53"/>
      <c r="K213" s="53"/>
    </row>
    <row r="214" ht="15.75" customHeight="1">
      <c r="E214" s="53"/>
      <c r="F214" s="53"/>
      <c r="G214" s="53"/>
      <c r="H214" s="53"/>
      <c r="I214" s="53"/>
      <c r="J214" s="53"/>
      <c r="K214" s="53"/>
    </row>
    <row r="215" ht="15.75" customHeight="1">
      <c r="E215" s="53"/>
      <c r="F215" s="53"/>
      <c r="G215" s="53"/>
      <c r="H215" s="53"/>
      <c r="I215" s="53"/>
      <c r="J215" s="53"/>
      <c r="K215" s="53"/>
    </row>
    <row r="216" ht="15.75" customHeight="1">
      <c r="E216" s="53"/>
      <c r="F216" s="53"/>
      <c r="G216" s="53"/>
      <c r="H216" s="53"/>
      <c r="I216" s="53"/>
      <c r="J216" s="53"/>
      <c r="K216" s="53"/>
    </row>
    <row r="217" ht="15.75" customHeight="1">
      <c r="E217" s="53"/>
      <c r="F217" s="53"/>
      <c r="G217" s="53"/>
      <c r="H217" s="53"/>
      <c r="I217" s="53"/>
      <c r="J217" s="53"/>
      <c r="K217" s="53"/>
    </row>
    <row r="218" ht="15.75" customHeight="1">
      <c r="E218" s="53"/>
      <c r="F218" s="53"/>
      <c r="G218" s="53"/>
      <c r="H218" s="53"/>
      <c r="I218" s="53"/>
      <c r="J218" s="53"/>
      <c r="K218" s="53"/>
    </row>
    <row r="219" ht="15.75" customHeight="1">
      <c r="E219" s="53"/>
      <c r="F219" s="53"/>
      <c r="G219" s="53"/>
      <c r="H219" s="53"/>
      <c r="I219" s="53"/>
      <c r="J219" s="53"/>
      <c r="K219" s="53"/>
    </row>
    <row r="220" ht="15.75" customHeight="1">
      <c r="E220" s="53"/>
      <c r="F220" s="53"/>
      <c r="G220" s="53"/>
      <c r="H220" s="53"/>
      <c r="I220" s="53"/>
      <c r="J220" s="53"/>
      <c r="K220" s="53"/>
    </row>
    <row r="221" ht="15.75" customHeight="1">
      <c r="E221" s="53"/>
      <c r="F221" s="53"/>
      <c r="G221" s="53"/>
      <c r="H221" s="53"/>
      <c r="I221" s="53"/>
      <c r="J221" s="53"/>
      <c r="K221" s="53"/>
    </row>
    <row r="222" ht="15.75" customHeight="1">
      <c r="E222" s="53"/>
      <c r="F222" s="53"/>
      <c r="G222" s="53"/>
      <c r="H222" s="53"/>
      <c r="I222" s="53"/>
      <c r="J222" s="53"/>
      <c r="K222" s="53"/>
    </row>
    <row r="223" ht="15.75" customHeight="1">
      <c r="E223" s="53"/>
      <c r="F223" s="53"/>
      <c r="G223" s="53"/>
      <c r="H223" s="53"/>
      <c r="I223" s="53"/>
      <c r="J223" s="53"/>
      <c r="K223" s="53"/>
    </row>
    <row r="224" ht="15.75" customHeight="1">
      <c r="E224" s="53"/>
      <c r="F224" s="53"/>
      <c r="G224" s="53"/>
      <c r="H224" s="53"/>
      <c r="I224" s="53"/>
      <c r="J224" s="53"/>
      <c r="K224" s="53"/>
    </row>
    <row r="225" ht="15.75" customHeight="1">
      <c r="E225" s="53"/>
      <c r="F225" s="53"/>
      <c r="G225" s="53"/>
      <c r="H225" s="53"/>
      <c r="I225" s="53"/>
      <c r="J225" s="53"/>
      <c r="K225" s="53"/>
    </row>
    <row r="226" ht="15.75" customHeight="1">
      <c r="E226" s="53"/>
      <c r="F226" s="53"/>
      <c r="G226" s="53"/>
      <c r="H226" s="53"/>
      <c r="I226" s="53"/>
      <c r="J226" s="53"/>
      <c r="K226" s="53"/>
    </row>
    <row r="227" ht="15.75" customHeight="1">
      <c r="E227" s="53"/>
      <c r="F227" s="53"/>
      <c r="G227" s="53"/>
      <c r="H227" s="53"/>
      <c r="I227" s="53"/>
      <c r="J227" s="53"/>
      <c r="K227" s="53"/>
    </row>
    <row r="228" ht="15.75" customHeight="1">
      <c r="E228" s="53"/>
      <c r="F228" s="53"/>
      <c r="G228" s="53"/>
      <c r="H228" s="53"/>
      <c r="I228" s="53"/>
      <c r="J228" s="53"/>
      <c r="K228" s="53"/>
    </row>
    <row r="229" ht="15.75" customHeight="1">
      <c r="E229" s="53"/>
      <c r="F229" s="53"/>
      <c r="G229" s="53"/>
      <c r="H229" s="53"/>
      <c r="I229" s="53"/>
      <c r="J229" s="53"/>
      <c r="K229" s="53"/>
    </row>
    <row r="230" ht="15.75" customHeight="1">
      <c r="E230" s="53"/>
      <c r="F230" s="53"/>
      <c r="G230" s="53"/>
      <c r="H230" s="53"/>
      <c r="I230" s="53"/>
      <c r="J230" s="53"/>
      <c r="K230" s="53"/>
    </row>
    <row r="231" ht="15.75" customHeight="1">
      <c r="E231" s="53"/>
      <c r="F231" s="53"/>
      <c r="G231" s="53"/>
      <c r="H231" s="53"/>
      <c r="I231" s="53"/>
      <c r="J231" s="53"/>
      <c r="K231" s="53"/>
    </row>
    <row r="232" ht="15.75" customHeight="1">
      <c r="E232" s="53"/>
      <c r="F232" s="53"/>
      <c r="G232" s="53"/>
      <c r="H232" s="53"/>
      <c r="I232" s="53"/>
      <c r="J232" s="53"/>
      <c r="K232" s="53"/>
    </row>
    <row r="233" ht="15.75" customHeight="1">
      <c r="E233" s="53"/>
      <c r="F233" s="53"/>
      <c r="G233" s="53"/>
      <c r="H233" s="53"/>
      <c r="I233" s="53"/>
      <c r="J233" s="53"/>
      <c r="K233" s="53"/>
    </row>
    <row r="234" ht="15.75" customHeight="1">
      <c r="E234" s="53"/>
      <c r="F234" s="53"/>
      <c r="G234" s="53"/>
      <c r="H234" s="53"/>
      <c r="I234" s="53"/>
      <c r="J234" s="53"/>
      <c r="K234" s="53"/>
    </row>
    <row r="235" ht="15.75" customHeight="1">
      <c r="E235" s="53"/>
      <c r="F235" s="53"/>
      <c r="G235" s="53"/>
      <c r="H235" s="53"/>
      <c r="I235" s="53"/>
      <c r="J235" s="53"/>
      <c r="K235" s="53"/>
    </row>
    <row r="236" ht="15.75" customHeight="1">
      <c r="E236" s="53"/>
      <c r="F236" s="53"/>
      <c r="G236" s="53"/>
      <c r="H236" s="53"/>
      <c r="I236" s="53"/>
      <c r="J236" s="53"/>
      <c r="K236" s="53"/>
    </row>
    <row r="237" ht="15.75" customHeight="1">
      <c r="E237" s="53"/>
      <c r="F237" s="53"/>
      <c r="G237" s="53"/>
      <c r="H237" s="53"/>
      <c r="I237" s="53"/>
      <c r="J237" s="53"/>
      <c r="K237" s="53"/>
    </row>
    <row r="238" ht="15.75" customHeight="1">
      <c r="E238" s="53"/>
      <c r="F238" s="53"/>
      <c r="G238" s="53"/>
      <c r="H238" s="53"/>
      <c r="I238" s="53"/>
      <c r="J238" s="53"/>
      <c r="K238" s="53"/>
    </row>
    <row r="239" ht="15.75" customHeight="1">
      <c r="E239" s="53"/>
      <c r="F239" s="53"/>
      <c r="G239" s="53"/>
      <c r="H239" s="53"/>
      <c r="I239" s="53"/>
      <c r="J239" s="53"/>
      <c r="K239" s="53"/>
    </row>
    <row r="240" ht="15.75" customHeight="1">
      <c r="E240" s="53"/>
      <c r="F240" s="53"/>
      <c r="G240" s="53"/>
      <c r="H240" s="53"/>
      <c r="I240" s="53"/>
      <c r="J240" s="53"/>
      <c r="K240" s="53"/>
    </row>
    <row r="241" ht="15.75" customHeight="1">
      <c r="E241" s="53"/>
      <c r="F241" s="53"/>
      <c r="G241" s="53"/>
      <c r="H241" s="53"/>
      <c r="I241" s="53"/>
      <c r="J241" s="53"/>
      <c r="K241" s="53"/>
    </row>
    <row r="242" ht="15.75" customHeight="1">
      <c r="E242" s="53"/>
      <c r="F242" s="53"/>
      <c r="G242" s="53"/>
      <c r="H242" s="53"/>
      <c r="I242" s="53"/>
      <c r="J242" s="53"/>
      <c r="K242" s="53"/>
    </row>
    <row r="243" ht="15.75" customHeight="1">
      <c r="E243" s="53"/>
      <c r="F243" s="53"/>
      <c r="G243" s="53"/>
      <c r="H243" s="53"/>
      <c r="I243" s="53"/>
      <c r="J243" s="53"/>
      <c r="K243" s="53"/>
    </row>
    <row r="244" ht="15.75" customHeight="1">
      <c r="E244" s="53"/>
      <c r="F244" s="53"/>
      <c r="G244" s="53"/>
      <c r="H244" s="53"/>
      <c r="I244" s="53"/>
      <c r="J244" s="53"/>
      <c r="K244" s="53"/>
    </row>
    <row r="245" ht="15.75" customHeight="1">
      <c r="E245" s="53"/>
      <c r="F245" s="53"/>
      <c r="G245" s="53"/>
      <c r="H245" s="53"/>
      <c r="I245" s="53"/>
      <c r="J245" s="53"/>
      <c r="K245" s="53"/>
    </row>
    <row r="246" ht="15.75" customHeight="1">
      <c r="E246" s="53"/>
      <c r="F246" s="53"/>
      <c r="G246" s="53"/>
      <c r="H246" s="53"/>
      <c r="I246" s="53"/>
      <c r="J246" s="53"/>
      <c r="K246" s="53"/>
    </row>
    <row r="247" ht="15.75" customHeight="1">
      <c r="E247" s="53"/>
      <c r="F247" s="53"/>
      <c r="G247" s="53"/>
      <c r="H247" s="53"/>
      <c r="I247" s="53"/>
      <c r="J247" s="53"/>
      <c r="K247" s="53"/>
    </row>
    <row r="248" ht="15.75" customHeight="1">
      <c r="E248" s="53"/>
      <c r="F248" s="53"/>
      <c r="G248" s="53"/>
      <c r="H248" s="53"/>
      <c r="I248" s="53"/>
      <c r="J248" s="53"/>
      <c r="K248" s="53"/>
    </row>
    <row r="249" ht="15.75" customHeight="1">
      <c r="E249" s="53"/>
      <c r="F249" s="53"/>
      <c r="G249" s="53"/>
      <c r="H249" s="53"/>
      <c r="I249" s="53"/>
      <c r="J249" s="53"/>
      <c r="K249" s="53"/>
    </row>
    <row r="250" ht="15.75" customHeight="1">
      <c r="E250" s="53"/>
      <c r="F250" s="53"/>
      <c r="G250" s="53"/>
      <c r="H250" s="53"/>
      <c r="I250" s="53"/>
      <c r="J250" s="53"/>
      <c r="K250" s="53"/>
    </row>
    <row r="251" ht="15.75" customHeight="1">
      <c r="E251" s="53"/>
      <c r="F251" s="53"/>
      <c r="G251" s="53"/>
      <c r="H251" s="53"/>
      <c r="I251" s="53"/>
      <c r="J251" s="53"/>
      <c r="K251" s="53"/>
    </row>
    <row r="252" ht="15.75" customHeight="1">
      <c r="E252" s="53"/>
      <c r="F252" s="53"/>
      <c r="G252" s="53"/>
      <c r="H252" s="53"/>
      <c r="I252" s="53"/>
      <c r="J252" s="53"/>
      <c r="K252" s="53"/>
    </row>
    <row r="253" ht="15.75" customHeight="1">
      <c r="E253" s="53"/>
      <c r="F253" s="53"/>
      <c r="G253" s="53"/>
      <c r="H253" s="53"/>
      <c r="I253" s="53"/>
      <c r="J253" s="53"/>
      <c r="K253" s="53"/>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13"/>
    <col customWidth="1" min="2" max="3" width="46.75"/>
    <col customWidth="1" min="4" max="4" width="45.88"/>
    <col customWidth="1" min="5" max="6" width="9.38"/>
  </cols>
  <sheetData>
    <row r="1">
      <c r="A1" s="66" t="s">
        <v>470</v>
      </c>
      <c r="B1" s="66" t="s">
        <v>471</v>
      </c>
      <c r="C1" s="66" t="s">
        <v>472</v>
      </c>
      <c r="D1" s="66" t="s">
        <v>473</v>
      </c>
    </row>
    <row r="2">
      <c r="A2" s="66" t="s">
        <v>474</v>
      </c>
      <c r="B2" s="67" t="s">
        <v>74</v>
      </c>
      <c r="C2" s="67" t="s">
        <v>475</v>
      </c>
      <c r="D2" s="67" t="s">
        <v>41</v>
      </c>
    </row>
    <row r="3">
      <c r="A3" s="66"/>
      <c r="B3" s="67" t="s">
        <v>77</v>
      </c>
      <c r="C3" s="67" t="s">
        <v>476</v>
      </c>
      <c r="D3" s="67" t="s">
        <v>45</v>
      </c>
    </row>
    <row r="4">
      <c r="A4" s="66"/>
      <c r="B4" s="67" t="s">
        <v>78</v>
      </c>
      <c r="C4" s="67" t="s">
        <v>477</v>
      </c>
      <c r="D4" s="67" t="s">
        <v>478</v>
      </c>
    </row>
    <row r="5">
      <c r="A5" s="66"/>
      <c r="B5" s="67" t="s">
        <v>82</v>
      </c>
      <c r="C5" s="67" t="s">
        <v>479</v>
      </c>
      <c r="D5" s="67" t="s">
        <v>55</v>
      </c>
    </row>
    <row r="6">
      <c r="A6" s="66"/>
      <c r="B6" s="67" t="s">
        <v>480</v>
      </c>
      <c r="C6" s="67" t="s">
        <v>481</v>
      </c>
      <c r="D6" s="67" t="s">
        <v>66</v>
      </c>
    </row>
    <row r="7">
      <c r="A7" s="66"/>
      <c r="B7" s="67" t="s">
        <v>482</v>
      </c>
      <c r="C7" s="67" t="s">
        <v>59</v>
      </c>
      <c r="D7" s="67" t="s">
        <v>84</v>
      </c>
    </row>
    <row r="8">
      <c r="A8" s="66"/>
      <c r="B8" s="67" t="s">
        <v>483</v>
      </c>
      <c r="C8" s="67" t="s">
        <v>88</v>
      </c>
      <c r="D8" s="67" t="s">
        <v>91</v>
      </c>
    </row>
    <row r="9">
      <c r="A9" s="66"/>
      <c r="B9" s="67"/>
      <c r="C9" s="67"/>
      <c r="D9" s="67" t="s">
        <v>62</v>
      </c>
    </row>
    <row r="10">
      <c r="A10" s="41"/>
    </row>
    <row r="11">
      <c r="A11" s="41"/>
    </row>
    <row r="12">
      <c r="A12" s="41"/>
    </row>
    <row r="13">
      <c r="A13" s="41"/>
    </row>
    <row r="14">
      <c r="A14" s="41"/>
    </row>
    <row r="15">
      <c r="A15" s="41"/>
    </row>
    <row r="16">
      <c r="A16" s="41"/>
    </row>
    <row r="17">
      <c r="A17" s="41"/>
    </row>
    <row r="18">
      <c r="A18" s="41"/>
    </row>
    <row r="19">
      <c r="A19" s="41"/>
    </row>
    <row r="20">
      <c r="A20" s="41"/>
    </row>
    <row r="21" ht="15.75" customHeight="1">
      <c r="A21" s="41"/>
    </row>
    <row r="22" ht="15.75" customHeight="1">
      <c r="A22" s="41"/>
    </row>
    <row r="23" ht="15.75" customHeight="1">
      <c r="A23" s="41"/>
    </row>
    <row r="24" ht="15.75" customHeight="1">
      <c r="A24" s="41"/>
    </row>
    <row r="25" ht="15.75" customHeight="1">
      <c r="A25" s="41"/>
    </row>
    <row r="26" ht="15.75" customHeight="1">
      <c r="A26" s="41"/>
    </row>
    <row r="27" ht="15.75" customHeight="1">
      <c r="A27" s="41"/>
    </row>
    <row r="28" ht="15.75" customHeight="1">
      <c r="A28" s="41"/>
    </row>
    <row r="29" ht="15.75" customHeight="1">
      <c r="A29" s="41"/>
    </row>
    <row r="30" ht="15.75" customHeight="1">
      <c r="A30" s="41"/>
    </row>
    <row r="31" ht="15.75" customHeight="1">
      <c r="A31" s="41"/>
    </row>
    <row r="32" ht="15.75" customHeight="1">
      <c r="A32" s="41"/>
    </row>
    <row r="33" ht="15.75" customHeight="1">
      <c r="A33" s="41"/>
    </row>
    <row r="34" ht="15.75" customHeight="1">
      <c r="A34" s="41"/>
    </row>
    <row r="35" ht="15.75" customHeight="1">
      <c r="A35" s="41"/>
    </row>
    <row r="36" ht="15.75" customHeight="1">
      <c r="A36" s="41"/>
    </row>
    <row r="37" ht="15.75" customHeight="1">
      <c r="A37" s="41"/>
    </row>
    <row r="38" ht="15.75" customHeight="1">
      <c r="A38" s="41"/>
    </row>
    <row r="39" ht="15.75" customHeight="1">
      <c r="A39" s="41"/>
    </row>
    <row r="40" ht="15.75" customHeight="1">
      <c r="A40" s="41"/>
    </row>
    <row r="41" ht="15.75" customHeight="1">
      <c r="A41" s="41"/>
    </row>
    <row r="42" ht="15.75" customHeight="1">
      <c r="A42" s="41"/>
    </row>
    <row r="43" ht="15.75" customHeight="1">
      <c r="A43" s="41"/>
    </row>
    <row r="44" ht="15.75" customHeight="1">
      <c r="A44" s="41"/>
    </row>
    <row r="45" ht="15.75" customHeight="1">
      <c r="A45" s="41"/>
    </row>
    <row r="46" ht="15.75" customHeight="1">
      <c r="A46" s="41"/>
    </row>
    <row r="47" ht="15.75" customHeight="1">
      <c r="A47" s="41"/>
    </row>
    <row r="48" ht="15.75" customHeight="1">
      <c r="A48" s="41"/>
    </row>
    <row r="49" ht="15.75" customHeight="1">
      <c r="A49" s="41"/>
    </row>
    <row r="50" ht="15.75" customHeight="1">
      <c r="A50" s="41"/>
    </row>
    <row r="51" ht="15.75" customHeight="1">
      <c r="A51" s="41"/>
    </row>
    <row r="52" ht="15.75" customHeight="1">
      <c r="A52" s="41"/>
    </row>
    <row r="53" ht="15.75" customHeight="1">
      <c r="A53" s="41"/>
    </row>
    <row r="54" ht="15.75" customHeight="1">
      <c r="A54" s="41"/>
    </row>
    <row r="55" ht="15.75" customHeight="1">
      <c r="A55" s="41"/>
    </row>
    <row r="56" ht="15.75" customHeight="1">
      <c r="A56" s="41"/>
    </row>
    <row r="57" ht="15.75" customHeight="1">
      <c r="A57" s="41"/>
    </row>
    <row r="58" ht="15.75" customHeight="1">
      <c r="A58" s="41"/>
    </row>
    <row r="59" ht="15.75" customHeight="1">
      <c r="A59" s="41"/>
    </row>
    <row r="60" ht="15.75" customHeight="1">
      <c r="A60" s="41"/>
    </row>
    <row r="61" ht="15.75" customHeight="1">
      <c r="A61" s="41"/>
    </row>
    <row r="62" ht="15.75" customHeight="1">
      <c r="A62" s="41"/>
    </row>
    <row r="63" ht="15.75" customHeight="1">
      <c r="A63" s="41"/>
    </row>
    <row r="64" ht="15.75" customHeight="1">
      <c r="A64" s="41"/>
    </row>
    <row r="65" ht="15.75" customHeight="1">
      <c r="A65" s="41"/>
    </row>
    <row r="66" ht="15.75" customHeight="1">
      <c r="A66" s="41"/>
    </row>
    <row r="67" ht="15.75" customHeight="1">
      <c r="A67" s="41"/>
    </row>
    <row r="68" ht="15.75" customHeight="1">
      <c r="A68" s="41"/>
    </row>
    <row r="69" ht="15.75" customHeight="1">
      <c r="A69" s="41"/>
    </row>
    <row r="70" ht="15.75" customHeight="1">
      <c r="A70" s="41"/>
    </row>
    <row r="71" ht="15.75" customHeight="1">
      <c r="A71" s="41"/>
    </row>
    <row r="72" ht="15.75" customHeight="1">
      <c r="A72" s="41"/>
    </row>
    <row r="73" ht="15.75" customHeight="1">
      <c r="A73" s="41"/>
    </row>
    <row r="74" ht="15.75" customHeight="1">
      <c r="A74" s="41"/>
    </row>
    <row r="75" ht="15.75" customHeight="1">
      <c r="A75" s="41"/>
    </row>
    <row r="76" ht="15.75" customHeight="1">
      <c r="A76" s="41"/>
    </row>
    <row r="77" ht="15.75" customHeight="1">
      <c r="A77" s="41"/>
    </row>
    <row r="78" ht="15.75" customHeight="1">
      <c r="A78" s="41"/>
    </row>
    <row r="79" ht="15.75" customHeight="1">
      <c r="A79" s="41"/>
    </row>
    <row r="80" ht="15.75" customHeight="1">
      <c r="A80" s="41"/>
    </row>
    <row r="81" ht="15.75" customHeight="1">
      <c r="A81" s="41"/>
    </row>
    <row r="82" ht="15.75" customHeight="1">
      <c r="A82" s="41"/>
    </row>
    <row r="83" ht="15.75" customHeight="1">
      <c r="A83" s="41"/>
    </row>
    <row r="84" ht="15.75" customHeight="1">
      <c r="A84" s="41"/>
    </row>
    <row r="85" ht="15.75" customHeight="1">
      <c r="A85" s="41"/>
    </row>
    <row r="86" ht="15.75" customHeight="1">
      <c r="A86" s="41"/>
    </row>
    <row r="87" ht="15.75" customHeight="1">
      <c r="A87" s="41"/>
    </row>
    <row r="88" ht="15.75" customHeight="1">
      <c r="A88" s="41"/>
    </row>
    <row r="89" ht="15.75" customHeight="1">
      <c r="A89" s="41"/>
    </row>
    <row r="90" ht="15.75" customHeight="1">
      <c r="A90" s="41"/>
    </row>
    <row r="91" ht="15.75" customHeight="1">
      <c r="A91" s="41"/>
    </row>
    <row r="92" ht="15.75" customHeight="1">
      <c r="A92" s="41"/>
    </row>
    <row r="93" ht="15.75" customHeight="1">
      <c r="A93" s="41"/>
    </row>
    <row r="94" ht="15.75" customHeight="1">
      <c r="A94" s="41"/>
    </row>
    <row r="95" ht="15.75" customHeight="1">
      <c r="A95" s="41"/>
    </row>
    <row r="96" ht="15.75" customHeight="1">
      <c r="A96" s="41"/>
    </row>
    <row r="97" ht="15.75" customHeight="1">
      <c r="A97" s="41"/>
    </row>
    <row r="98" ht="15.75" customHeight="1">
      <c r="A98" s="41"/>
    </row>
    <row r="99" ht="15.75" customHeight="1">
      <c r="A99" s="41"/>
    </row>
    <row r="100" ht="15.75" customHeight="1">
      <c r="A100" s="41"/>
    </row>
    <row r="101" ht="15.75" customHeight="1">
      <c r="A101" s="41"/>
    </row>
    <row r="102" ht="15.75" customHeight="1">
      <c r="A102" s="41"/>
    </row>
    <row r="103" ht="15.75" customHeight="1">
      <c r="A103" s="41"/>
    </row>
    <row r="104" ht="15.75" customHeight="1">
      <c r="A104" s="41"/>
    </row>
    <row r="105" ht="15.75" customHeight="1">
      <c r="A105" s="41"/>
    </row>
    <row r="106" ht="15.75" customHeight="1">
      <c r="A106" s="41"/>
    </row>
    <row r="107" ht="15.75" customHeight="1">
      <c r="A107" s="41"/>
    </row>
    <row r="108" ht="15.75" customHeight="1">
      <c r="A108" s="41"/>
    </row>
    <row r="109" ht="15.75" customHeight="1">
      <c r="A109" s="41"/>
    </row>
    <row r="110" ht="15.75" customHeight="1">
      <c r="A110" s="41"/>
    </row>
    <row r="111" ht="15.75" customHeight="1">
      <c r="A111" s="41"/>
    </row>
    <row r="112" ht="15.75" customHeight="1">
      <c r="A112" s="41"/>
    </row>
    <row r="113" ht="15.75" customHeight="1">
      <c r="A113" s="41"/>
    </row>
    <row r="114" ht="15.75" customHeight="1">
      <c r="A114" s="41"/>
    </row>
    <row r="115" ht="15.75" customHeight="1">
      <c r="A115" s="41"/>
    </row>
    <row r="116" ht="15.75" customHeight="1">
      <c r="A116" s="41"/>
    </row>
    <row r="117" ht="15.75" customHeight="1">
      <c r="A117" s="41"/>
    </row>
    <row r="118" ht="15.75" customHeight="1">
      <c r="A118" s="41"/>
    </row>
    <row r="119" ht="15.75" customHeight="1">
      <c r="A119" s="41"/>
    </row>
    <row r="120" ht="15.75" customHeight="1">
      <c r="A120" s="41"/>
    </row>
    <row r="121" ht="15.75" customHeight="1">
      <c r="A121" s="41"/>
    </row>
    <row r="122" ht="15.75" customHeight="1">
      <c r="A122" s="41"/>
    </row>
    <row r="123" ht="15.75" customHeight="1">
      <c r="A123" s="41"/>
    </row>
    <row r="124" ht="15.75" customHeight="1">
      <c r="A124" s="41"/>
    </row>
    <row r="125" ht="15.75" customHeight="1">
      <c r="A125" s="41"/>
    </row>
    <row r="126" ht="15.75" customHeight="1">
      <c r="A126" s="41"/>
    </row>
    <row r="127" ht="15.75" customHeight="1">
      <c r="A127" s="41"/>
    </row>
    <row r="128" ht="15.75" customHeight="1">
      <c r="A128" s="41"/>
    </row>
    <row r="129" ht="15.75" customHeight="1">
      <c r="A129" s="41"/>
    </row>
    <row r="130" ht="15.75" customHeight="1">
      <c r="A130" s="41"/>
    </row>
    <row r="131" ht="15.75" customHeight="1">
      <c r="A131" s="41"/>
    </row>
    <row r="132" ht="15.75" customHeight="1">
      <c r="A132" s="41"/>
    </row>
    <row r="133" ht="15.75" customHeight="1">
      <c r="A133" s="41"/>
    </row>
    <row r="134" ht="15.75" customHeight="1">
      <c r="A134" s="41"/>
    </row>
    <row r="135" ht="15.75" customHeight="1">
      <c r="A135" s="41"/>
    </row>
    <row r="136" ht="15.75" customHeight="1">
      <c r="A136" s="41"/>
    </row>
    <row r="137" ht="15.75" customHeight="1">
      <c r="A137" s="41"/>
    </row>
    <row r="138" ht="15.75" customHeight="1">
      <c r="A138" s="41"/>
    </row>
    <row r="139" ht="15.75" customHeight="1">
      <c r="A139" s="41"/>
    </row>
    <row r="140" ht="15.75" customHeight="1">
      <c r="A140" s="41"/>
    </row>
    <row r="141" ht="15.75" customHeight="1">
      <c r="A141" s="41"/>
    </row>
    <row r="142" ht="15.75" customHeight="1">
      <c r="A142" s="41"/>
    </row>
    <row r="143" ht="15.75" customHeight="1">
      <c r="A143" s="41"/>
    </row>
    <row r="144" ht="15.75" customHeight="1">
      <c r="A144" s="41"/>
    </row>
    <row r="145" ht="15.75" customHeight="1">
      <c r="A145" s="41"/>
    </row>
    <row r="146" ht="15.75" customHeight="1">
      <c r="A146" s="41"/>
    </row>
    <row r="147" ht="15.75" customHeight="1">
      <c r="A147" s="41"/>
    </row>
    <row r="148" ht="15.75" customHeight="1">
      <c r="A148" s="41"/>
    </row>
    <row r="149" ht="15.75" customHeight="1">
      <c r="A149" s="41"/>
    </row>
    <row r="150" ht="15.75" customHeight="1">
      <c r="A150" s="41"/>
    </row>
    <row r="151" ht="15.75" customHeight="1">
      <c r="A151" s="41"/>
    </row>
    <row r="152" ht="15.75" customHeight="1">
      <c r="A152" s="41"/>
    </row>
    <row r="153" ht="15.75" customHeight="1">
      <c r="A153" s="41"/>
    </row>
    <row r="154" ht="15.75" customHeight="1">
      <c r="A154" s="41"/>
    </row>
    <row r="155" ht="15.75" customHeight="1">
      <c r="A155" s="41"/>
    </row>
    <row r="156" ht="15.75" customHeight="1">
      <c r="A156" s="41"/>
    </row>
    <row r="157" ht="15.75" customHeight="1">
      <c r="A157" s="41"/>
    </row>
    <row r="158" ht="15.75" customHeight="1">
      <c r="A158" s="41"/>
    </row>
    <row r="159" ht="15.75" customHeight="1">
      <c r="A159" s="41"/>
    </row>
    <row r="160" ht="15.75" customHeight="1">
      <c r="A160" s="41"/>
    </row>
    <row r="161" ht="15.75" customHeight="1">
      <c r="A161" s="41"/>
    </row>
    <row r="162" ht="15.75" customHeight="1">
      <c r="A162" s="41"/>
    </row>
    <row r="163" ht="15.75" customHeight="1">
      <c r="A163" s="41"/>
    </row>
    <row r="164" ht="15.75" customHeight="1">
      <c r="A164" s="41"/>
    </row>
    <row r="165" ht="15.75" customHeight="1">
      <c r="A165" s="41"/>
    </row>
    <row r="166" ht="15.75" customHeight="1">
      <c r="A166" s="41"/>
    </row>
    <row r="167" ht="15.75" customHeight="1">
      <c r="A167" s="41"/>
    </row>
    <row r="168" ht="15.75" customHeight="1">
      <c r="A168" s="41"/>
    </row>
    <row r="169" ht="15.75" customHeight="1">
      <c r="A169" s="41"/>
    </row>
    <row r="170" ht="15.75" customHeight="1">
      <c r="A170" s="41"/>
    </row>
    <row r="171" ht="15.75" customHeight="1">
      <c r="A171" s="41"/>
    </row>
    <row r="172" ht="15.75" customHeight="1">
      <c r="A172" s="41"/>
    </row>
    <row r="173" ht="15.75" customHeight="1">
      <c r="A173" s="41"/>
    </row>
    <row r="174" ht="15.75" customHeight="1">
      <c r="A174" s="41"/>
    </row>
    <row r="175" ht="15.75" customHeight="1">
      <c r="A175" s="41"/>
    </row>
    <row r="176" ht="15.75" customHeight="1">
      <c r="A176" s="41"/>
    </row>
    <row r="177" ht="15.75" customHeight="1">
      <c r="A177" s="41"/>
    </row>
    <row r="178" ht="15.75" customHeight="1">
      <c r="A178" s="41"/>
    </row>
    <row r="179" ht="15.75" customHeight="1">
      <c r="A179" s="41"/>
    </row>
    <row r="180" ht="15.75" customHeight="1">
      <c r="A180" s="41"/>
    </row>
    <row r="181" ht="15.75" customHeight="1">
      <c r="A181" s="41"/>
    </row>
    <row r="182" ht="15.75" customHeight="1">
      <c r="A182" s="41"/>
    </row>
    <row r="183" ht="15.75" customHeight="1">
      <c r="A183" s="41"/>
    </row>
    <row r="184" ht="15.75" customHeight="1">
      <c r="A184" s="41"/>
    </row>
    <row r="185" ht="15.75" customHeight="1">
      <c r="A185" s="41"/>
    </row>
    <row r="186" ht="15.75" customHeight="1">
      <c r="A186" s="41"/>
    </row>
    <row r="187" ht="15.75" customHeight="1">
      <c r="A187" s="41"/>
    </row>
    <row r="188" ht="15.75" customHeight="1">
      <c r="A188" s="41"/>
    </row>
    <row r="189" ht="15.75" customHeight="1">
      <c r="A189" s="41"/>
    </row>
    <row r="190" ht="15.75" customHeight="1">
      <c r="A190" s="41"/>
    </row>
    <row r="191" ht="15.75" customHeight="1">
      <c r="A191" s="41"/>
    </row>
    <row r="192" ht="15.75" customHeight="1">
      <c r="A192" s="41"/>
    </row>
    <row r="193" ht="15.75" customHeight="1">
      <c r="A193" s="41"/>
    </row>
    <row r="194" ht="15.75" customHeight="1">
      <c r="A194" s="41"/>
    </row>
    <row r="195" ht="15.75" customHeight="1">
      <c r="A195" s="41"/>
    </row>
    <row r="196" ht="15.75" customHeight="1">
      <c r="A196" s="41"/>
    </row>
    <row r="197" ht="15.75" customHeight="1">
      <c r="A197" s="41"/>
    </row>
    <row r="198" ht="15.75" customHeight="1">
      <c r="A198" s="41"/>
    </row>
    <row r="199" ht="15.75" customHeight="1">
      <c r="A199" s="41"/>
    </row>
    <row r="200" ht="15.75" customHeight="1">
      <c r="A200" s="41"/>
    </row>
    <row r="201" ht="15.75" customHeight="1">
      <c r="A201" s="41"/>
    </row>
    <row r="202" ht="15.75" customHeight="1">
      <c r="A202" s="41"/>
    </row>
    <row r="203" ht="15.75" customHeight="1">
      <c r="A203" s="41"/>
    </row>
    <row r="204" ht="15.75" customHeight="1">
      <c r="A204" s="41"/>
    </row>
    <row r="205" ht="15.75" customHeight="1">
      <c r="A205" s="41"/>
    </row>
    <row r="206" ht="15.75" customHeight="1">
      <c r="A206" s="41"/>
    </row>
    <row r="207" ht="15.75" customHeight="1">
      <c r="A207" s="41"/>
    </row>
    <row r="208" ht="15.75" customHeight="1">
      <c r="A208" s="41"/>
    </row>
    <row r="209" ht="15.75" customHeight="1">
      <c r="A209" s="41"/>
    </row>
    <row r="210" ht="15.75" customHeight="1">
      <c r="A210" s="41"/>
    </row>
    <row r="211" ht="15.75" customHeight="1">
      <c r="A211" s="41"/>
    </row>
    <row r="212" ht="15.75" customHeight="1">
      <c r="A212" s="41"/>
    </row>
    <row r="213" ht="15.75" customHeight="1">
      <c r="A213" s="41"/>
    </row>
    <row r="214" ht="15.75" customHeight="1">
      <c r="A214" s="41"/>
    </row>
    <row r="215" ht="15.75" customHeight="1">
      <c r="A215" s="41"/>
    </row>
    <row r="216" ht="15.75" customHeight="1">
      <c r="A216" s="41"/>
    </row>
    <row r="217" ht="15.75" customHeight="1">
      <c r="A217" s="41"/>
    </row>
    <row r="218" ht="15.75" customHeight="1">
      <c r="A218" s="41"/>
    </row>
    <row r="219" ht="15.75" customHeight="1">
      <c r="A219" s="41"/>
    </row>
    <row r="220" ht="15.75" customHeight="1">
      <c r="A220" s="4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38"/>
    <col customWidth="1" min="2" max="4" width="27.88"/>
    <col customWidth="1" min="5" max="6" width="9.38"/>
  </cols>
  <sheetData>
    <row r="1">
      <c r="A1" s="1" t="s">
        <v>470</v>
      </c>
      <c r="B1" s="1" t="s">
        <v>471</v>
      </c>
      <c r="C1" s="1" t="s">
        <v>472</v>
      </c>
      <c r="D1" s="1" t="s">
        <v>473</v>
      </c>
    </row>
    <row r="2">
      <c r="A2" s="1" t="s">
        <v>484</v>
      </c>
      <c r="B2" s="3" t="s">
        <v>485</v>
      </c>
      <c r="C2" s="3" t="s">
        <v>486</v>
      </c>
      <c r="D2" s="3" t="s">
        <v>487</v>
      </c>
    </row>
    <row r="3">
      <c r="A3" s="3"/>
      <c r="B3" s="3" t="s">
        <v>488</v>
      </c>
      <c r="C3" s="3" t="s">
        <v>489</v>
      </c>
      <c r="D3" s="3" t="s">
        <v>490</v>
      </c>
    </row>
    <row r="4">
      <c r="A4" s="3"/>
      <c r="B4" s="3" t="s">
        <v>491</v>
      </c>
      <c r="C4" s="3" t="s">
        <v>492</v>
      </c>
      <c r="D4" s="3" t="s">
        <v>493</v>
      </c>
    </row>
    <row r="5">
      <c r="A5" s="3"/>
      <c r="B5" s="3" t="s">
        <v>494</v>
      </c>
      <c r="C5" s="3" t="s">
        <v>495</v>
      </c>
      <c r="D5" s="3" t="s">
        <v>496</v>
      </c>
    </row>
    <row r="6">
      <c r="A6" s="3"/>
      <c r="B6" s="3" t="s">
        <v>497</v>
      </c>
      <c r="C6" s="3" t="s">
        <v>498</v>
      </c>
      <c r="D6" s="3" t="s">
        <v>499</v>
      </c>
    </row>
    <row r="7">
      <c r="A7" s="3"/>
      <c r="B7" s="3" t="s">
        <v>500</v>
      </c>
      <c r="C7" s="3" t="s">
        <v>501</v>
      </c>
      <c r="D7" s="3" t="s">
        <v>502</v>
      </c>
    </row>
    <row r="8">
      <c r="A8" s="3"/>
      <c r="B8" s="3" t="s">
        <v>503</v>
      </c>
      <c r="C8" s="3" t="s">
        <v>504</v>
      </c>
      <c r="D8" s="3" t="s">
        <v>505</v>
      </c>
    </row>
    <row r="9">
      <c r="A9" s="3"/>
      <c r="B9" s="3" t="s">
        <v>506</v>
      </c>
      <c r="C9" s="3"/>
      <c r="D9" s="3" t="s">
        <v>507</v>
      </c>
    </row>
    <row r="10">
      <c r="A10" s="3"/>
      <c r="B10" s="3" t="s">
        <v>508</v>
      </c>
      <c r="C10" s="3"/>
      <c r="D10" s="3" t="s">
        <v>509</v>
      </c>
    </row>
    <row r="11">
      <c r="A11" s="3"/>
      <c r="B11" s="3" t="s">
        <v>510</v>
      </c>
      <c r="C11" s="3"/>
      <c r="D11" s="3" t="s">
        <v>511</v>
      </c>
    </row>
    <row r="12">
      <c r="A12" s="3"/>
      <c r="B12" s="3" t="s">
        <v>512</v>
      </c>
      <c r="C12" s="3"/>
      <c r="D12" s="3" t="s">
        <v>513</v>
      </c>
    </row>
    <row r="13">
      <c r="A13" s="3"/>
      <c r="B13" s="3" t="s">
        <v>514</v>
      </c>
      <c r="C13" s="3"/>
      <c r="D13" s="3"/>
    </row>
    <row r="14">
      <c r="A14" s="104"/>
      <c r="B14" s="104"/>
      <c r="C14" s="104"/>
      <c r="D14" s="104"/>
    </row>
    <row r="15">
      <c r="A15" s="104"/>
      <c r="B15" s="104"/>
      <c r="C15" s="104"/>
      <c r="D15" s="104"/>
    </row>
    <row r="16">
      <c r="A16" s="104"/>
      <c r="B16" s="104"/>
      <c r="C16" s="104"/>
      <c r="D16" s="104"/>
    </row>
    <row r="17">
      <c r="A17" s="104"/>
      <c r="B17" s="104"/>
      <c r="C17" s="104"/>
      <c r="D17" s="104"/>
    </row>
    <row r="18">
      <c r="A18" s="104"/>
      <c r="B18" s="104"/>
      <c r="C18" s="104"/>
      <c r="D18" s="104"/>
    </row>
    <row r="19">
      <c r="A19" s="104"/>
      <c r="B19" s="104"/>
      <c r="C19" s="104"/>
      <c r="D19" s="104"/>
    </row>
    <row r="20">
      <c r="A20" s="104"/>
      <c r="B20" s="104"/>
      <c r="C20" s="104"/>
      <c r="D20" s="104"/>
    </row>
    <row r="21" ht="15.75" customHeight="1">
      <c r="A21" s="104"/>
      <c r="B21" s="104"/>
      <c r="C21" s="104"/>
      <c r="D21" s="104"/>
    </row>
    <row r="22" ht="15.75" customHeight="1">
      <c r="A22" s="104"/>
      <c r="B22" s="104"/>
      <c r="C22" s="104"/>
      <c r="D22" s="104"/>
    </row>
    <row r="23" ht="15.75" customHeight="1">
      <c r="A23" s="104"/>
      <c r="B23" s="104"/>
      <c r="C23" s="104"/>
      <c r="D23" s="104"/>
    </row>
    <row r="24" ht="15.75" customHeight="1">
      <c r="A24" s="104"/>
      <c r="B24" s="104"/>
      <c r="C24" s="104"/>
      <c r="D24" s="104"/>
    </row>
    <row r="25" ht="15.75" customHeight="1">
      <c r="A25" s="104"/>
      <c r="B25" s="104"/>
      <c r="C25" s="104"/>
      <c r="D25" s="104"/>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8"/>
    <col customWidth="1" min="2" max="2" width="21.25"/>
    <col customWidth="1" hidden="1" min="3" max="3" width="11.38"/>
    <col customWidth="1" hidden="1" min="4" max="4" width="12.5"/>
    <col customWidth="1" hidden="1" min="5" max="5" width="13.0"/>
    <col customWidth="1" hidden="1" min="6" max="6" width="11.63"/>
    <col customWidth="1" hidden="1" min="7" max="7" width="17.75"/>
    <col customWidth="1" min="8" max="8" width="15.88"/>
    <col customWidth="1" min="9" max="9" width="12.88"/>
    <col customWidth="1" min="10" max="10" width="15.75"/>
    <col customWidth="1" min="11" max="16" width="19.0"/>
    <col customWidth="1" min="17" max="17" width="14.13"/>
    <col customWidth="1" min="18" max="18" width="15.25"/>
    <col customWidth="1" min="19" max="22" width="12.88"/>
    <col customWidth="1" min="23" max="23" width="15.75"/>
    <col customWidth="1" min="24" max="25" width="9.38"/>
    <col customWidth="1" min="26" max="26" width="23.5"/>
    <col customWidth="1" min="27" max="27" width="178.0"/>
  </cols>
  <sheetData>
    <row r="1">
      <c r="A1" s="41"/>
      <c r="B1" s="41"/>
      <c r="H1" s="105" t="s">
        <v>515</v>
      </c>
      <c r="I1" s="106"/>
      <c r="J1" s="107"/>
      <c r="K1" s="108" t="s">
        <v>516</v>
      </c>
      <c r="L1" s="26"/>
      <c r="M1" s="26"/>
      <c r="N1" s="26"/>
      <c r="O1" s="26"/>
      <c r="P1" s="27"/>
      <c r="Q1" s="109" t="s">
        <v>517</v>
      </c>
      <c r="R1" s="26"/>
      <c r="S1" s="27"/>
      <c r="T1" s="110" t="s">
        <v>518</v>
      </c>
      <c r="U1" s="26"/>
      <c r="V1" s="26"/>
      <c r="W1" s="27"/>
      <c r="X1" s="111"/>
    </row>
    <row r="2">
      <c r="A2" s="1" t="s">
        <v>22</v>
      </c>
      <c r="B2" s="1" t="s">
        <v>23</v>
      </c>
      <c r="C2" s="1" t="s">
        <v>24</v>
      </c>
      <c r="D2" s="1" t="s">
        <v>25</v>
      </c>
      <c r="E2" s="1" t="s">
        <v>26</v>
      </c>
      <c r="F2" s="1" t="s">
        <v>27</v>
      </c>
      <c r="G2" s="112" t="s">
        <v>28</v>
      </c>
      <c r="H2" s="113" t="s">
        <v>519</v>
      </c>
      <c r="I2" s="113" t="s">
        <v>520</v>
      </c>
      <c r="J2" s="113" t="s">
        <v>521</v>
      </c>
      <c r="K2" s="114" t="s">
        <v>522</v>
      </c>
      <c r="L2" s="114" t="s">
        <v>523</v>
      </c>
      <c r="M2" s="114" t="s">
        <v>524</v>
      </c>
      <c r="N2" s="114" t="s">
        <v>525</v>
      </c>
      <c r="O2" s="114" t="s">
        <v>526</v>
      </c>
      <c r="P2" s="114" t="s">
        <v>527</v>
      </c>
      <c r="Q2" s="115" t="s">
        <v>528</v>
      </c>
      <c r="R2" s="115" t="s">
        <v>529</v>
      </c>
      <c r="S2" s="115" t="s">
        <v>530</v>
      </c>
      <c r="T2" s="116" t="s">
        <v>531</v>
      </c>
      <c r="U2" s="116" t="s">
        <v>532</v>
      </c>
      <c r="V2" s="116" t="s">
        <v>533</v>
      </c>
      <c r="W2" s="116" t="s">
        <v>534</v>
      </c>
      <c r="X2" s="117" t="s">
        <v>535</v>
      </c>
      <c r="Z2" s="118" t="s">
        <v>515</v>
      </c>
      <c r="AA2" s="27"/>
    </row>
    <row r="3">
      <c r="A3" s="1">
        <v>1.0</v>
      </c>
      <c r="B3" s="1" t="s">
        <v>475</v>
      </c>
      <c r="C3" s="3" t="s">
        <v>30</v>
      </c>
      <c r="D3" s="3" t="s">
        <v>31</v>
      </c>
      <c r="E3" s="3" t="s">
        <v>32</v>
      </c>
      <c r="F3" s="2" t="s">
        <v>33</v>
      </c>
      <c r="G3" s="119" t="s">
        <v>34</v>
      </c>
      <c r="H3" s="120">
        <v>1.0</v>
      </c>
      <c r="I3" s="120">
        <v>1.0</v>
      </c>
      <c r="J3" s="120">
        <v>1.0</v>
      </c>
      <c r="K3" s="121">
        <v>0.0</v>
      </c>
      <c r="L3" s="121">
        <v>0.0</v>
      </c>
      <c r="M3" s="121">
        <v>0.0</v>
      </c>
      <c r="N3" s="121">
        <v>0.0</v>
      </c>
      <c r="O3" s="121">
        <v>0.0</v>
      </c>
      <c r="P3" s="121">
        <v>0.0</v>
      </c>
      <c r="Q3" s="122">
        <v>0.0</v>
      </c>
      <c r="R3" s="122">
        <v>1.0</v>
      </c>
      <c r="S3" s="122">
        <v>0.0</v>
      </c>
      <c r="T3" s="123">
        <v>0.0</v>
      </c>
      <c r="U3" s="123">
        <v>0.0</v>
      </c>
      <c r="V3" s="123">
        <v>0.0</v>
      </c>
      <c r="W3" s="123">
        <v>1.0</v>
      </c>
      <c r="X3" s="124">
        <f t="shared" ref="X3:X23" si="1">SUM(H3:W3)</f>
        <v>5</v>
      </c>
      <c r="Z3" s="1" t="s">
        <v>519</v>
      </c>
      <c r="AA3" s="125" t="s">
        <v>536</v>
      </c>
    </row>
    <row r="4">
      <c r="A4" s="1">
        <v>2.0</v>
      </c>
      <c r="B4" s="1" t="s">
        <v>476</v>
      </c>
      <c r="C4" s="3" t="s">
        <v>36</v>
      </c>
      <c r="D4" s="3" t="s">
        <v>31</v>
      </c>
      <c r="E4" s="3" t="s">
        <v>32</v>
      </c>
      <c r="F4" s="2" t="s">
        <v>37</v>
      </c>
      <c r="G4" s="126"/>
      <c r="H4" s="120">
        <v>1.0</v>
      </c>
      <c r="I4" s="120">
        <v>1.0</v>
      </c>
      <c r="J4" s="120">
        <v>1.0</v>
      </c>
      <c r="K4" s="121">
        <v>0.0</v>
      </c>
      <c r="L4" s="121">
        <v>0.0</v>
      </c>
      <c r="M4" s="121">
        <v>0.0</v>
      </c>
      <c r="N4" s="121">
        <v>0.0</v>
      </c>
      <c r="O4" s="121">
        <v>0.0</v>
      </c>
      <c r="P4" s="121">
        <v>0.0</v>
      </c>
      <c r="Q4" s="122">
        <v>0.0</v>
      </c>
      <c r="R4" s="122">
        <v>1.0</v>
      </c>
      <c r="S4" s="122">
        <v>0.0</v>
      </c>
      <c r="T4" s="123">
        <v>0.0</v>
      </c>
      <c r="U4" s="123">
        <v>0.0</v>
      </c>
      <c r="V4" s="123">
        <v>0.0</v>
      </c>
      <c r="W4" s="123">
        <v>1.0</v>
      </c>
      <c r="X4" s="124">
        <f t="shared" si="1"/>
        <v>5</v>
      </c>
      <c r="Z4" s="1" t="s">
        <v>520</v>
      </c>
      <c r="AA4" s="125" t="s">
        <v>537</v>
      </c>
    </row>
    <row r="5">
      <c r="A5" s="1">
        <v>3.0</v>
      </c>
      <c r="B5" s="1" t="s">
        <v>477</v>
      </c>
      <c r="C5" s="3" t="s">
        <v>36</v>
      </c>
      <c r="D5" s="3" t="s">
        <v>31</v>
      </c>
      <c r="E5" s="3" t="s">
        <v>32</v>
      </c>
      <c r="F5" s="2" t="s">
        <v>37</v>
      </c>
      <c r="G5" s="126"/>
      <c r="H5" s="120">
        <v>1.0</v>
      </c>
      <c r="I5" s="120">
        <v>1.0</v>
      </c>
      <c r="J5" s="120">
        <v>1.0</v>
      </c>
      <c r="K5" s="121">
        <v>0.0</v>
      </c>
      <c r="L5" s="121">
        <v>0.0</v>
      </c>
      <c r="M5" s="121">
        <v>0.0</v>
      </c>
      <c r="N5" s="121">
        <v>0.0</v>
      </c>
      <c r="O5" s="121">
        <v>0.0</v>
      </c>
      <c r="P5" s="121">
        <v>0.0</v>
      </c>
      <c r="Q5" s="122">
        <v>0.0</v>
      </c>
      <c r="R5" s="122">
        <v>1.0</v>
      </c>
      <c r="S5" s="122">
        <v>0.0</v>
      </c>
      <c r="T5" s="123">
        <v>0.0</v>
      </c>
      <c r="U5" s="123">
        <v>0.0</v>
      </c>
      <c r="V5" s="123">
        <v>0.0</v>
      </c>
      <c r="W5" s="123">
        <v>1.0</v>
      </c>
      <c r="X5" s="124">
        <f t="shared" si="1"/>
        <v>5</v>
      </c>
      <c r="Z5" s="1" t="s">
        <v>521</v>
      </c>
      <c r="AA5" s="125" t="s">
        <v>538</v>
      </c>
    </row>
    <row r="6">
      <c r="A6" s="1">
        <v>4.0</v>
      </c>
      <c r="B6" s="1" t="s">
        <v>479</v>
      </c>
      <c r="C6" s="3" t="s">
        <v>36</v>
      </c>
      <c r="D6" s="3" t="s">
        <v>31</v>
      </c>
      <c r="E6" s="3" t="s">
        <v>32</v>
      </c>
      <c r="F6" s="2" t="s">
        <v>37</v>
      </c>
      <c r="G6" s="126"/>
      <c r="H6" s="120">
        <v>1.0</v>
      </c>
      <c r="I6" s="120">
        <v>1.0</v>
      </c>
      <c r="J6" s="120">
        <v>1.0</v>
      </c>
      <c r="K6" s="121">
        <v>0.0</v>
      </c>
      <c r="L6" s="121">
        <v>0.0</v>
      </c>
      <c r="M6" s="121">
        <v>0.0</v>
      </c>
      <c r="N6" s="121">
        <v>0.0</v>
      </c>
      <c r="O6" s="121">
        <v>0.0</v>
      </c>
      <c r="P6" s="121">
        <v>0.0</v>
      </c>
      <c r="Q6" s="122">
        <v>0.0</v>
      </c>
      <c r="R6" s="122">
        <v>1.0</v>
      </c>
      <c r="S6" s="122">
        <v>0.0</v>
      </c>
      <c r="T6" s="123">
        <v>0.0</v>
      </c>
      <c r="U6" s="123">
        <v>0.0</v>
      </c>
      <c r="V6" s="123">
        <v>0.0</v>
      </c>
      <c r="W6" s="123">
        <v>1.0</v>
      </c>
      <c r="X6" s="124">
        <f t="shared" si="1"/>
        <v>5</v>
      </c>
      <c r="Z6" s="127" t="s">
        <v>516</v>
      </c>
      <c r="AA6" s="27"/>
    </row>
    <row r="7">
      <c r="A7" s="1">
        <v>5.0</v>
      </c>
      <c r="B7" s="1" t="s">
        <v>481</v>
      </c>
      <c r="C7" s="3" t="s">
        <v>36</v>
      </c>
      <c r="D7" s="3" t="s">
        <v>31</v>
      </c>
      <c r="E7" s="3" t="s">
        <v>32</v>
      </c>
      <c r="F7" s="2" t="s">
        <v>37</v>
      </c>
      <c r="G7" s="128"/>
      <c r="H7" s="120">
        <v>1.0</v>
      </c>
      <c r="I7" s="120">
        <v>1.0</v>
      </c>
      <c r="J7" s="120">
        <v>1.0</v>
      </c>
      <c r="K7" s="121">
        <v>0.0</v>
      </c>
      <c r="L7" s="121">
        <v>0.0</v>
      </c>
      <c r="M7" s="121">
        <v>0.0</v>
      </c>
      <c r="N7" s="121">
        <v>0.0</v>
      </c>
      <c r="O7" s="121">
        <v>0.0</v>
      </c>
      <c r="P7" s="121">
        <v>0.0</v>
      </c>
      <c r="Q7" s="122">
        <v>0.0</v>
      </c>
      <c r="R7" s="122">
        <v>1.0</v>
      </c>
      <c r="S7" s="122">
        <v>0.0</v>
      </c>
      <c r="T7" s="123">
        <v>0.0</v>
      </c>
      <c r="U7" s="123">
        <v>0.0</v>
      </c>
      <c r="V7" s="123">
        <v>0.0</v>
      </c>
      <c r="W7" s="123">
        <v>1.0</v>
      </c>
      <c r="X7" s="124">
        <f t="shared" si="1"/>
        <v>5</v>
      </c>
      <c r="Z7" s="1" t="s">
        <v>522</v>
      </c>
      <c r="AA7" s="125" t="s">
        <v>539</v>
      </c>
    </row>
    <row r="8">
      <c r="A8" s="1">
        <v>6.0</v>
      </c>
      <c r="B8" s="1" t="s">
        <v>41</v>
      </c>
      <c r="C8" s="3" t="s">
        <v>42</v>
      </c>
      <c r="D8" s="3" t="s">
        <v>31</v>
      </c>
      <c r="E8" s="3" t="s">
        <v>43</v>
      </c>
      <c r="F8" s="3" t="s">
        <v>33</v>
      </c>
      <c r="G8" s="129" t="s">
        <v>44</v>
      </c>
      <c r="H8" s="120">
        <v>1.0</v>
      </c>
      <c r="I8" s="120">
        <v>1.0</v>
      </c>
      <c r="J8" s="120">
        <v>1.0</v>
      </c>
      <c r="K8" s="121">
        <v>0.0</v>
      </c>
      <c r="L8" s="121">
        <v>1.0</v>
      </c>
      <c r="M8" s="121">
        <v>0.0</v>
      </c>
      <c r="N8" s="121">
        <v>0.0</v>
      </c>
      <c r="O8" s="121">
        <v>0.0</v>
      </c>
      <c r="P8" s="121">
        <v>1.0</v>
      </c>
      <c r="Q8" s="122">
        <v>1.0</v>
      </c>
      <c r="R8" s="122">
        <v>1.0</v>
      </c>
      <c r="S8" s="122">
        <v>1.0</v>
      </c>
      <c r="T8" s="123">
        <v>1.0</v>
      </c>
      <c r="U8" s="123">
        <v>1.0</v>
      </c>
      <c r="V8" s="123">
        <v>0.0</v>
      </c>
      <c r="W8" s="123">
        <v>0.0</v>
      </c>
      <c r="X8" s="124">
        <f t="shared" si="1"/>
        <v>10</v>
      </c>
      <c r="Z8" s="1" t="s">
        <v>523</v>
      </c>
      <c r="AA8" s="125" t="s">
        <v>540</v>
      </c>
    </row>
    <row r="9">
      <c r="A9" s="1">
        <v>7.0</v>
      </c>
      <c r="B9" s="1" t="s">
        <v>45</v>
      </c>
      <c r="C9" s="3" t="s">
        <v>42</v>
      </c>
      <c r="D9" s="3" t="s">
        <v>31</v>
      </c>
      <c r="E9" s="3" t="s">
        <v>46</v>
      </c>
      <c r="F9" s="3" t="s">
        <v>33</v>
      </c>
      <c r="G9" s="129" t="s">
        <v>47</v>
      </c>
      <c r="H9" s="120">
        <v>1.0</v>
      </c>
      <c r="I9" s="120">
        <v>1.0</v>
      </c>
      <c r="J9" s="120">
        <v>1.0</v>
      </c>
      <c r="K9" s="121">
        <v>0.0</v>
      </c>
      <c r="L9" s="121">
        <v>1.0</v>
      </c>
      <c r="M9" s="121">
        <v>0.0</v>
      </c>
      <c r="N9" s="121">
        <v>0.0</v>
      </c>
      <c r="O9" s="121">
        <v>0.0</v>
      </c>
      <c r="P9" s="121">
        <v>1.0</v>
      </c>
      <c r="Q9" s="122">
        <v>1.0</v>
      </c>
      <c r="R9" s="122">
        <v>1.0</v>
      </c>
      <c r="S9" s="122">
        <v>1.0</v>
      </c>
      <c r="T9" s="123">
        <v>1.0</v>
      </c>
      <c r="U9" s="123">
        <v>1.0</v>
      </c>
      <c r="V9" s="123">
        <v>0.0</v>
      </c>
      <c r="W9" s="123">
        <v>0.0</v>
      </c>
      <c r="X9" s="124">
        <f t="shared" si="1"/>
        <v>10</v>
      </c>
      <c r="Z9" s="1" t="s">
        <v>524</v>
      </c>
      <c r="AA9" s="125" t="s">
        <v>541</v>
      </c>
    </row>
    <row r="10">
      <c r="A10" s="1">
        <v>8.0</v>
      </c>
      <c r="B10" s="1" t="s">
        <v>542</v>
      </c>
      <c r="C10" s="3" t="s">
        <v>49</v>
      </c>
      <c r="D10" s="3" t="s">
        <v>50</v>
      </c>
      <c r="E10" s="3" t="s">
        <v>51</v>
      </c>
      <c r="F10" s="3" t="s">
        <v>33</v>
      </c>
      <c r="G10" s="129" t="s">
        <v>52</v>
      </c>
      <c r="H10" s="120">
        <v>1.0</v>
      </c>
      <c r="I10" s="120">
        <v>1.0</v>
      </c>
      <c r="J10" s="120">
        <v>0.0</v>
      </c>
      <c r="K10" s="121">
        <v>0.0</v>
      </c>
      <c r="L10" s="121">
        <v>0.0</v>
      </c>
      <c r="M10" s="121">
        <v>0.0</v>
      </c>
      <c r="N10" s="121">
        <v>0.0</v>
      </c>
      <c r="O10" s="121">
        <v>0.0</v>
      </c>
      <c r="P10" s="121">
        <v>0.0</v>
      </c>
      <c r="Q10" s="122">
        <v>1.0</v>
      </c>
      <c r="R10" s="122">
        <v>1.0</v>
      </c>
      <c r="S10" s="122">
        <v>0.0</v>
      </c>
      <c r="T10" s="123">
        <v>1.0</v>
      </c>
      <c r="U10" s="123">
        <v>1.0</v>
      </c>
      <c r="V10" s="123">
        <v>0.0</v>
      </c>
      <c r="W10" s="123">
        <v>0.0</v>
      </c>
      <c r="X10" s="124">
        <f t="shared" si="1"/>
        <v>6</v>
      </c>
      <c r="Z10" s="1" t="s">
        <v>525</v>
      </c>
      <c r="AA10" s="125" t="s">
        <v>543</v>
      </c>
    </row>
    <row r="11">
      <c r="A11" s="1">
        <v>9.0</v>
      </c>
      <c r="B11" s="1" t="s">
        <v>478</v>
      </c>
      <c r="C11" s="3" t="s">
        <v>49</v>
      </c>
      <c r="D11" s="3" t="s">
        <v>31</v>
      </c>
      <c r="E11" s="3" t="s">
        <v>51</v>
      </c>
      <c r="F11" s="3" t="s">
        <v>33</v>
      </c>
      <c r="G11" s="129" t="s">
        <v>54</v>
      </c>
      <c r="H11" s="120">
        <v>1.0</v>
      </c>
      <c r="I11" s="120">
        <v>1.0</v>
      </c>
      <c r="J11" s="120">
        <v>1.0</v>
      </c>
      <c r="K11" s="121">
        <v>1.0</v>
      </c>
      <c r="L11" s="121">
        <v>1.0</v>
      </c>
      <c r="M11" s="121">
        <v>0.0</v>
      </c>
      <c r="N11" s="121">
        <v>0.0</v>
      </c>
      <c r="O11" s="121">
        <v>0.0</v>
      </c>
      <c r="P11" s="121">
        <v>1.0</v>
      </c>
      <c r="Q11" s="122">
        <v>0.0</v>
      </c>
      <c r="R11" s="122">
        <v>1.0</v>
      </c>
      <c r="S11" s="122">
        <v>0.0</v>
      </c>
      <c r="T11" s="123">
        <v>1.0</v>
      </c>
      <c r="U11" s="123">
        <v>1.0</v>
      </c>
      <c r="V11" s="123">
        <v>0.0</v>
      </c>
      <c r="W11" s="123">
        <v>1.0</v>
      </c>
      <c r="X11" s="124">
        <f t="shared" si="1"/>
        <v>10</v>
      </c>
      <c r="Z11" s="1" t="s">
        <v>526</v>
      </c>
      <c r="AA11" s="125" t="s">
        <v>544</v>
      </c>
    </row>
    <row r="12">
      <c r="A12" s="1">
        <v>10.0</v>
      </c>
      <c r="B12" s="1" t="s">
        <v>55</v>
      </c>
      <c r="C12" s="3" t="s">
        <v>36</v>
      </c>
      <c r="D12" s="3" t="s">
        <v>56</v>
      </c>
      <c r="E12" s="3" t="s">
        <v>57</v>
      </c>
      <c r="F12" s="3" t="s">
        <v>37</v>
      </c>
      <c r="G12" s="129" t="s">
        <v>58</v>
      </c>
      <c r="H12" s="120">
        <v>1.0</v>
      </c>
      <c r="I12" s="120">
        <v>1.0</v>
      </c>
      <c r="J12" s="120">
        <v>1.0</v>
      </c>
      <c r="K12" s="121">
        <v>1.0</v>
      </c>
      <c r="L12" s="121">
        <v>1.0</v>
      </c>
      <c r="M12" s="121">
        <v>0.0</v>
      </c>
      <c r="N12" s="121">
        <v>0.0</v>
      </c>
      <c r="O12" s="121">
        <v>0.0</v>
      </c>
      <c r="P12" s="121">
        <v>1.0</v>
      </c>
      <c r="Q12" s="122">
        <v>0.0</v>
      </c>
      <c r="R12" s="122">
        <v>1.0</v>
      </c>
      <c r="S12" s="122">
        <v>0.0</v>
      </c>
      <c r="T12" s="123">
        <v>1.0</v>
      </c>
      <c r="U12" s="123">
        <v>1.0</v>
      </c>
      <c r="V12" s="123">
        <v>0.0</v>
      </c>
      <c r="W12" s="123">
        <v>1.0</v>
      </c>
      <c r="X12" s="124">
        <f t="shared" si="1"/>
        <v>10</v>
      </c>
      <c r="Z12" s="1" t="s">
        <v>527</v>
      </c>
      <c r="AA12" s="125" t="s">
        <v>545</v>
      </c>
    </row>
    <row r="13">
      <c r="A13" s="1">
        <v>11.0</v>
      </c>
      <c r="B13" s="1" t="s">
        <v>59</v>
      </c>
      <c r="C13" s="3" t="s">
        <v>30</v>
      </c>
      <c r="D13" s="3" t="s">
        <v>60</v>
      </c>
      <c r="E13" s="3" t="s">
        <v>46</v>
      </c>
      <c r="F13" s="3" t="s">
        <v>37</v>
      </c>
      <c r="G13" s="129" t="s">
        <v>61</v>
      </c>
      <c r="H13" s="120">
        <v>1.0</v>
      </c>
      <c r="I13" s="120">
        <v>1.0</v>
      </c>
      <c r="J13" s="120">
        <v>1.0</v>
      </c>
      <c r="K13" s="121">
        <v>0.0</v>
      </c>
      <c r="L13" s="121">
        <v>0.0</v>
      </c>
      <c r="M13" s="121">
        <v>1.0</v>
      </c>
      <c r="N13" s="121">
        <v>0.0</v>
      </c>
      <c r="O13" s="121">
        <v>1.0</v>
      </c>
      <c r="P13" s="121">
        <v>1.0</v>
      </c>
      <c r="Q13" s="122">
        <v>1.0</v>
      </c>
      <c r="R13" s="122">
        <v>0.0</v>
      </c>
      <c r="S13" s="122">
        <v>1.0</v>
      </c>
      <c r="T13" s="123">
        <v>0.0</v>
      </c>
      <c r="U13" s="123">
        <v>0.0</v>
      </c>
      <c r="V13" s="123">
        <v>0.0</v>
      </c>
      <c r="W13" s="123">
        <v>0.0</v>
      </c>
      <c r="X13" s="124">
        <f t="shared" si="1"/>
        <v>8</v>
      </c>
      <c r="Z13" s="130" t="s">
        <v>517</v>
      </c>
      <c r="AA13" s="27"/>
    </row>
    <row r="14">
      <c r="A14" s="1">
        <v>12.0</v>
      </c>
      <c r="B14" s="1" t="s">
        <v>62</v>
      </c>
      <c r="C14" s="3" t="s">
        <v>36</v>
      </c>
      <c r="D14" s="3" t="s">
        <v>63</v>
      </c>
      <c r="E14" s="3" t="s">
        <v>64</v>
      </c>
      <c r="F14" s="3" t="s">
        <v>37</v>
      </c>
      <c r="G14" s="129" t="s">
        <v>65</v>
      </c>
      <c r="H14" s="120">
        <v>0.0</v>
      </c>
      <c r="I14" s="120">
        <v>1.0</v>
      </c>
      <c r="J14" s="120">
        <v>1.0</v>
      </c>
      <c r="K14" s="121">
        <v>1.0</v>
      </c>
      <c r="L14" s="121">
        <v>1.0</v>
      </c>
      <c r="M14" s="121">
        <v>0.0</v>
      </c>
      <c r="N14" s="121">
        <v>1.0</v>
      </c>
      <c r="O14" s="121">
        <v>1.0</v>
      </c>
      <c r="P14" s="121">
        <v>0.0</v>
      </c>
      <c r="Q14" s="122">
        <v>1.0</v>
      </c>
      <c r="R14" s="122">
        <v>1.0</v>
      </c>
      <c r="S14" s="122">
        <v>0.0</v>
      </c>
      <c r="T14" s="123">
        <v>1.0</v>
      </c>
      <c r="U14" s="123">
        <v>1.0</v>
      </c>
      <c r="V14" s="123">
        <v>0.0</v>
      </c>
      <c r="W14" s="123">
        <v>1.0</v>
      </c>
      <c r="X14" s="124">
        <f t="shared" si="1"/>
        <v>11</v>
      </c>
      <c r="Z14" s="1" t="s">
        <v>528</v>
      </c>
      <c r="AA14" s="125" t="s">
        <v>546</v>
      </c>
    </row>
    <row r="15">
      <c r="A15" s="1">
        <v>13.0</v>
      </c>
      <c r="B15" s="1" t="s">
        <v>66</v>
      </c>
      <c r="C15" s="3" t="s">
        <v>67</v>
      </c>
      <c r="D15" s="3" t="s">
        <v>68</v>
      </c>
      <c r="E15" s="3" t="s">
        <v>69</v>
      </c>
      <c r="F15" s="3" t="s">
        <v>33</v>
      </c>
      <c r="G15" s="129" t="s">
        <v>70</v>
      </c>
      <c r="H15" s="120">
        <v>1.0</v>
      </c>
      <c r="I15" s="120">
        <v>0.0</v>
      </c>
      <c r="J15" s="120">
        <v>0.0</v>
      </c>
      <c r="K15" s="121">
        <v>0.0</v>
      </c>
      <c r="L15" s="121">
        <v>1.0</v>
      </c>
      <c r="M15" s="121">
        <v>1.0</v>
      </c>
      <c r="N15" s="121">
        <v>0.0</v>
      </c>
      <c r="O15" s="121">
        <v>0.0</v>
      </c>
      <c r="P15" s="121">
        <v>1.0</v>
      </c>
      <c r="Q15" s="122">
        <v>1.0</v>
      </c>
      <c r="R15" s="122">
        <v>1.0</v>
      </c>
      <c r="S15" s="122">
        <v>1.0</v>
      </c>
      <c r="T15" s="123">
        <v>0.0</v>
      </c>
      <c r="U15" s="123">
        <v>0.0</v>
      </c>
      <c r="V15" s="123">
        <v>0.0</v>
      </c>
      <c r="W15" s="123">
        <v>0.0</v>
      </c>
      <c r="X15" s="124">
        <f t="shared" si="1"/>
        <v>7</v>
      </c>
      <c r="Z15" s="1" t="s">
        <v>529</v>
      </c>
      <c r="AA15" s="125" t="s">
        <v>547</v>
      </c>
    </row>
    <row r="16">
      <c r="A16" s="1">
        <v>14.0</v>
      </c>
      <c r="B16" s="131" t="s">
        <v>71</v>
      </c>
      <c r="C16" s="7" t="s">
        <v>42</v>
      </c>
      <c r="D16" s="3" t="s">
        <v>72</v>
      </c>
      <c r="E16" s="3" t="s">
        <v>57</v>
      </c>
      <c r="F16" s="3" t="s">
        <v>37</v>
      </c>
      <c r="G16" s="129" t="s">
        <v>73</v>
      </c>
      <c r="H16" s="120">
        <v>1.0</v>
      </c>
      <c r="I16" s="120">
        <v>1.0</v>
      </c>
      <c r="J16" s="120">
        <v>0.0</v>
      </c>
      <c r="K16" s="121">
        <v>0.0</v>
      </c>
      <c r="L16" s="121">
        <v>0.0</v>
      </c>
      <c r="M16" s="121">
        <v>0.0</v>
      </c>
      <c r="N16" s="121">
        <v>0.0</v>
      </c>
      <c r="O16" s="121">
        <v>0.0</v>
      </c>
      <c r="P16" s="121">
        <v>0.0</v>
      </c>
      <c r="Q16" s="122">
        <v>1.0</v>
      </c>
      <c r="R16" s="122">
        <v>1.0</v>
      </c>
      <c r="S16" s="122">
        <v>0.0</v>
      </c>
      <c r="T16" s="123">
        <v>1.0</v>
      </c>
      <c r="U16" s="123">
        <v>1.0</v>
      </c>
      <c r="V16" s="123">
        <v>0.0</v>
      </c>
      <c r="W16" s="123">
        <v>0.0</v>
      </c>
      <c r="X16" s="124">
        <f t="shared" si="1"/>
        <v>6</v>
      </c>
      <c r="Z16" s="1" t="s">
        <v>530</v>
      </c>
      <c r="AA16" s="125" t="s">
        <v>548</v>
      </c>
    </row>
    <row r="17">
      <c r="A17" s="1">
        <v>15.0</v>
      </c>
      <c r="B17" s="1" t="s">
        <v>74</v>
      </c>
      <c r="C17" s="3" t="s">
        <v>36</v>
      </c>
      <c r="D17" s="3" t="s">
        <v>75</v>
      </c>
      <c r="E17" s="3" t="s">
        <v>69</v>
      </c>
      <c r="F17" s="2" t="s">
        <v>37</v>
      </c>
      <c r="G17" s="119" t="s">
        <v>76</v>
      </c>
      <c r="H17" s="120">
        <v>1.0</v>
      </c>
      <c r="I17" s="120">
        <v>1.0</v>
      </c>
      <c r="J17" s="120">
        <v>1.0</v>
      </c>
      <c r="K17" s="121">
        <v>1.0</v>
      </c>
      <c r="L17" s="121">
        <v>1.0</v>
      </c>
      <c r="M17" s="121">
        <v>0.0</v>
      </c>
      <c r="N17" s="121">
        <v>1.0</v>
      </c>
      <c r="O17" s="121">
        <v>1.0</v>
      </c>
      <c r="P17" s="121">
        <v>0.0</v>
      </c>
      <c r="Q17" s="122">
        <v>1.0</v>
      </c>
      <c r="R17" s="122">
        <v>1.0</v>
      </c>
      <c r="S17" s="122">
        <v>0.0</v>
      </c>
      <c r="T17" s="123">
        <v>0.0</v>
      </c>
      <c r="U17" s="123">
        <v>0.0</v>
      </c>
      <c r="V17" s="123">
        <v>0.0</v>
      </c>
      <c r="W17" s="123">
        <v>1.0</v>
      </c>
      <c r="X17" s="124">
        <f t="shared" si="1"/>
        <v>10</v>
      </c>
      <c r="Z17" s="132" t="s">
        <v>518</v>
      </c>
      <c r="AA17" s="27"/>
    </row>
    <row r="18">
      <c r="A18" s="1">
        <v>16.0</v>
      </c>
      <c r="B18" s="1" t="s">
        <v>77</v>
      </c>
      <c r="C18" s="3" t="s">
        <v>36</v>
      </c>
      <c r="D18" s="3" t="s">
        <v>75</v>
      </c>
      <c r="E18" s="3" t="s">
        <v>69</v>
      </c>
      <c r="F18" s="6" t="s">
        <v>37</v>
      </c>
      <c r="G18" s="128"/>
      <c r="H18" s="120">
        <v>1.0</v>
      </c>
      <c r="I18" s="120">
        <v>1.0</v>
      </c>
      <c r="J18" s="120">
        <v>1.0</v>
      </c>
      <c r="K18" s="121">
        <v>1.0</v>
      </c>
      <c r="L18" s="121">
        <v>1.0</v>
      </c>
      <c r="M18" s="121">
        <v>0.0</v>
      </c>
      <c r="N18" s="121">
        <v>1.0</v>
      </c>
      <c r="O18" s="121">
        <v>1.0</v>
      </c>
      <c r="P18" s="121">
        <v>0.0</v>
      </c>
      <c r="Q18" s="122">
        <v>1.0</v>
      </c>
      <c r="R18" s="122">
        <v>1.0</v>
      </c>
      <c r="S18" s="122">
        <v>0.0</v>
      </c>
      <c r="T18" s="123">
        <v>0.0</v>
      </c>
      <c r="U18" s="123">
        <v>0.0</v>
      </c>
      <c r="V18" s="123">
        <v>0.0</v>
      </c>
      <c r="W18" s="123">
        <v>1.0</v>
      </c>
      <c r="X18" s="124">
        <f t="shared" si="1"/>
        <v>10</v>
      </c>
      <c r="Z18" s="1" t="s">
        <v>531</v>
      </c>
      <c r="AA18" s="125" t="s">
        <v>549</v>
      </c>
    </row>
    <row r="19">
      <c r="A19" s="1">
        <v>17.0</v>
      </c>
      <c r="B19" s="1" t="s">
        <v>78</v>
      </c>
      <c r="C19" s="3" t="s">
        <v>36</v>
      </c>
      <c r="D19" s="3" t="s">
        <v>79</v>
      </c>
      <c r="E19" s="3" t="s">
        <v>80</v>
      </c>
      <c r="F19" s="3" t="s">
        <v>37</v>
      </c>
      <c r="G19" s="129" t="s">
        <v>81</v>
      </c>
      <c r="H19" s="120">
        <v>0.0</v>
      </c>
      <c r="I19" s="120">
        <v>1.0</v>
      </c>
      <c r="J19" s="120">
        <v>1.0</v>
      </c>
      <c r="K19" s="121">
        <v>1.0</v>
      </c>
      <c r="L19" s="121">
        <v>1.0</v>
      </c>
      <c r="M19" s="121">
        <v>0.0</v>
      </c>
      <c r="N19" s="121">
        <v>0.0</v>
      </c>
      <c r="O19" s="121">
        <v>1.0</v>
      </c>
      <c r="P19" s="121">
        <v>0.0</v>
      </c>
      <c r="Q19" s="122">
        <v>0.0</v>
      </c>
      <c r="R19" s="122">
        <v>1.0</v>
      </c>
      <c r="S19" s="122">
        <v>1.0</v>
      </c>
      <c r="T19" s="123">
        <v>0.0</v>
      </c>
      <c r="U19" s="123">
        <v>0.0</v>
      </c>
      <c r="V19" s="123">
        <v>0.0</v>
      </c>
      <c r="W19" s="123">
        <v>1.0</v>
      </c>
      <c r="X19" s="124">
        <f t="shared" si="1"/>
        <v>8</v>
      </c>
      <c r="Z19" s="1" t="s">
        <v>532</v>
      </c>
      <c r="AA19" s="125" t="s">
        <v>550</v>
      </c>
    </row>
    <row r="20">
      <c r="A20" s="1">
        <v>18.0</v>
      </c>
      <c r="B20" s="1" t="s">
        <v>82</v>
      </c>
      <c r="C20" s="3" t="s">
        <v>36</v>
      </c>
      <c r="D20" s="3" t="s">
        <v>79</v>
      </c>
      <c r="E20" s="3" t="s">
        <v>80</v>
      </c>
      <c r="F20" s="3" t="s">
        <v>37</v>
      </c>
      <c r="G20" s="129" t="s">
        <v>83</v>
      </c>
      <c r="H20" s="120">
        <v>0.0</v>
      </c>
      <c r="I20" s="120">
        <v>1.0</v>
      </c>
      <c r="J20" s="120">
        <v>1.0</v>
      </c>
      <c r="K20" s="121">
        <v>1.0</v>
      </c>
      <c r="L20" s="121">
        <v>1.0</v>
      </c>
      <c r="M20" s="121">
        <v>0.0</v>
      </c>
      <c r="N20" s="121">
        <v>0.0</v>
      </c>
      <c r="O20" s="121">
        <v>1.0</v>
      </c>
      <c r="P20" s="121">
        <v>0.0</v>
      </c>
      <c r="Q20" s="122">
        <v>0.0</v>
      </c>
      <c r="R20" s="122">
        <v>1.0</v>
      </c>
      <c r="S20" s="122">
        <v>1.0</v>
      </c>
      <c r="T20" s="123">
        <v>0.0</v>
      </c>
      <c r="U20" s="123">
        <v>0.0</v>
      </c>
      <c r="V20" s="123">
        <v>0.0</v>
      </c>
      <c r="W20" s="123">
        <v>1.0</v>
      </c>
      <c r="X20" s="124">
        <f t="shared" si="1"/>
        <v>8</v>
      </c>
      <c r="Z20" s="1" t="s">
        <v>533</v>
      </c>
      <c r="AA20" s="125" t="s">
        <v>551</v>
      </c>
    </row>
    <row r="21" ht="15.75" customHeight="1">
      <c r="A21" s="1">
        <v>19.0</v>
      </c>
      <c r="B21" s="1" t="s">
        <v>84</v>
      </c>
      <c r="C21" s="3" t="s">
        <v>30</v>
      </c>
      <c r="D21" s="3" t="s">
        <v>85</v>
      </c>
      <c r="E21" s="3" t="s">
        <v>86</v>
      </c>
      <c r="F21" s="3" t="s">
        <v>37</v>
      </c>
      <c r="G21" s="129" t="s">
        <v>87</v>
      </c>
      <c r="H21" s="120">
        <v>1.0</v>
      </c>
      <c r="I21" s="120">
        <v>1.0</v>
      </c>
      <c r="J21" s="120">
        <v>1.0</v>
      </c>
      <c r="K21" s="121">
        <v>0.0</v>
      </c>
      <c r="L21" s="121">
        <v>0.0</v>
      </c>
      <c r="M21" s="121">
        <v>1.0</v>
      </c>
      <c r="N21" s="121">
        <v>0.0</v>
      </c>
      <c r="O21" s="121">
        <v>1.0</v>
      </c>
      <c r="P21" s="121">
        <v>1.0</v>
      </c>
      <c r="Q21" s="122">
        <v>1.0</v>
      </c>
      <c r="R21" s="122">
        <v>0.0</v>
      </c>
      <c r="S21" s="122">
        <v>1.0</v>
      </c>
      <c r="T21" s="123">
        <v>0.0</v>
      </c>
      <c r="U21" s="123">
        <v>0.0</v>
      </c>
      <c r="V21" s="123">
        <v>0.0</v>
      </c>
      <c r="W21" s="123">
        <v>0.0</v>
      </c>
      <c r="X21" s="124">
        <f t="shared" si="1"/>
        <v>8</v>
      </c>
      <c r="Z21" s="1" t="s">
        <v>534</v>
      </c>
      <c r="AA21" s="125" t="s">
        <v>552</v>
      </c>
    </row>
    <row r="22" ht="15.75" customHeight="1">
      <c r="A22" s="1">
        <v>20.0</v>
      </c>
      <c r="B22" s="1" t="s">
        <v>88</v>
      </c>
      <c r="C22" s="3" t="s">
        <v>36</v>
      </c>
      <c r="D22" s="3" t="s">
        <v>89</v>
      </c>
      <c r="E22" s="3" t="s">
        <v>51</v>
      </c>
      <c r="F22" s="3" t="s">
        <v>37</v>
      </c>
      <c r="G22" s="129" t="s">
        <v>90</v>
      </c>
      <c r="H22" s="120">
        <v>1.0</v>
      </c>
      <c r="I22" s="120">
        <v>1.0</v>
      </c>
      <c r="J22" s="120">
        <v>0.0</v>
      </c>
      <c r="K22" s="121">
        <v>0.0</v>
      </c>
      <c r="L22" s="121">
        <v>1.0</v>
      </c>
      <c r="M22" s="121">
        <v>1.0</v>
      </c>
      <c r="N22" s="121">
        <v>1.0</v>
      </c>
      <c r="O22" s="121">
        <v>1.0</v>
      </c>
      <c r="P22" s="121">
        <v>1.0</v>
      </c>
      <c r="Q22" s="122">
        <v>1.0</v>
      </c>
      <c r="R22" s="122">
        <v>1.0</v>
      </c>
      <c r="S22" s="122">
        <v>1.0</v>
      </c>
      <c r="T22" s="123">
        <v>1.0</v>
      </c>
      <c r="U22" s="123">
        <v>1.0</v>
      </c>
      <c r="V22" s="123">
        <v>0.0</v>
      </c>
      <c r="W22" s="123">
        <v>1.0</v>
      </c>
      <c r="X22" s="124">
        <f t="shared" si="1"/>
        <v>13</v>
      </c>
    </row>
    <row r="23" ht="15.75" customHeight="1">
      <c r="A23" s="1">
        <v>21.0</v>
      </c>
      <c r="B23" s="28" t="s">
        <v>91</v>
      </c>
      <c r="C23" s="3" t="s">
        <v>49</v>
      </c>
      <c r="D23" s="3" t="s">
        <v>92</v>
      </c>
      <c r="E23" s="3" t="s">
        <v>93</v>
      </c>
      <c r="F23" s="3" t="s">
        <v>33</v>
      </c>
      <c r="G23" s="129" t="s">
        <v>94</v>
      </c>
      <c r="H23" s="120">
        <v>1.0</v>
      </c>
      <c r="I23" s="120">
        <v>1.0</v>
      </c>
      <c r="J23" s="120">
        <v>1.0</v>
      </c>
      <c r="K23" s="121">
        <v>0.0</v>
      </c>
      <c r="L23" s="121">
        <v>1.0</v>
      </c>
      <c r="M23" s="121">
        <v>0.0</v>
      </c>
      <c r="N23" s="121">
        <v>0.0</v>
      </c>
      <c r="O23" s="121">
        <v>0.0</v>
      </c>
      <c r="P23" s="121">
        <v>1.0</v>
      </c>
      <c r="Q23" s="122">
        <v>1.0</v>
      </c>
      <c r="R23" s="122">
        <v>1.0</v>
      </c>
      <c r="S23" s="122">
        <v>1.0</v>
      </c>
      <c r="T23" s="123">
        <v>1.0</v>
      </c>
      <c r="U23" s="123">
        <v>1.0</v>
      </c>
      <c r="V23" s="123">
        <v>0.0</v>
      </c>
      <c r="W23" s="123">
        <v>0.0</v>
      </c>
      <c r="X23" s="133">
        <f t="shared" si="1"/>
        <v>10</v>
      </c>
    </row>
    <row r="24" ht="15.75" customHeight="1">
      <c r="A24" s="134"/>
      <c r="B24" s="135" t="s">
        <v>354</v>
      </c>
      <c r="C24" s="35"/>
      <c r="D24" s="35"/>
      <c r="E24" s="35"/>
      <c r="F24" s="35"/>
      <c r="G24" s="35"/>
      <c r="H24" s="35"/>
      <c r="I24" s="35"/>
      <c r="J24" s="35"/>
      <c r="K24" s="35"/>
      <c r="L24" s="35"/>
      <c r="M24" s="35"/>
      <c r="N24" s="35"/>
      <c r="O24" s="35"/>
      <c r="P24" s="35"/>
      <c r="Q24" s="35"/>
      <c r="R24" s="35"/>
      <c r="S24" s="35"/>
      <c r="T24" s="35"/>
      <c r="U24" s="35"/>
      <c r="V24" s="35"/>
      <c r="W24" s="35"/>
      <c r="X24" s="136">
        <f>AVERAGE(X3:X23)</f>
        <v>8.095238095</v>
      </c>
    </row>
    <row r="25" ht="15.75" customHeight="1">
      <c r="A25" s="41"/>
      <c r="B25" s="41"/>
    </row>
    <row r="26" ht="15.75" customHeight="1">
      <c r="A26" s="41"/>
      <c r="B26" s="41"/>
    </row>
    <row r="27" ht="15.75" customHeight="1">
      <c r="A27" s="41"/>
      <c r="B27" s="41"/>
    </row>
    <row r="28" ht="15.75" customHeight="1">
      <c r="A28" s="41"/>
      <c r="B28" s="41"/>
    </row>
    <row r="29" ht="15.75" customHeight="1">
      <c r="A29" s="41"/>
      <c r="B29" s="41"/>
    </row>
    <row r="30" ht="15.75" customHeight="1">
      <c r="A30" s="41"/>
      <c r="B30" s="41"/>
    </row>
    <row r="31" ht="15.75" customHeight="1">
      <c r="A31" s="41"/>
      <c r="B31" s="41"/>
    </row>
    <row r="32" ht="15.75" customHeight="1">
      <c r="A32" s="41"/>
      <c r="B32" s="41"/>
    </row>
    <row r="33" ht="15.75" customHeight="1">
      <c r="A33" s="41"/>
      <c r="B33" s="41"/>
    </row>
    <row r="34" ht="15.75" customHeight="1">
      <c r="A34" s="41"/>
      <c r="B34" s="41"/>
    </row>
    <row r="35" ht="15.75" customHeight="1">
      <c r="A35" s="41"/>
      <c r="B35" s="41"/>
    </row>
    <row r="36" ht="15.75" customHeight="1">
      <c r="A36" s="41"/>
      <c r="B36" s="41"/>
    </row>
    <row r="37" ht="15.75" customHeight="1">
      <c r="A37" s="41"/>
      <c r="B37" s="41"/>
    </row>
    <row r="38" ht="15.75" customHeight="1">
      <c r="A38" s="41"/>
      <c r="B38" s="41"/>
    </row>
    <row r="39" ht="15.75" customHeight="1">
      <c r="A39" s="41"/>
      <c r="B39" s="41"/>
    </row>
    <row r="40" ht="15.75" customHeight="1">
      <c r="A40" s="41"/>
      <c r="B40" s="41"/>
    </row>
    <row r="41" ht="15.75" customHeight="1">
      <c r="A41" s="41"/>
      <c r="B41" s="41"/>
    </row>
    <row r="42" ht="15.75" customHeight="1">
      <c r="A42" s="41"/>
      <c r="B42" s="41"/>
    </row>
    <row r="43" ht="15.75" customHeight="1">
      <c r="A43" s="41"/>
      <c r="B43" s="41"/>
    </row>
    <row r="44" ht="15.75" customHeight="1">
      <c r="A44" s="41"/>
      <c r="B44" s="41"/>
    </row>
    <row r="45" ht="15.75" customHeight="1">
      <c r="A45" s="41"/>
      <c r="B45" s="41"/>
    </row>
    <row r="46" ht="15.75" customHeight="1">
      <c r="A46" s="41"/>
      <c r="B46" s="41"/>
    </row>
    <row r="47" ht="15.75" customHeight="1">
      <c r="A47" s="41"/>
      <c r="B47" s="41"/>
    </row>
    <row r="48" ht="15.75" customHeight="1">
      <c r="A48" s="41"/>
      <c r="B48" s="41"/>
    </row>
    <row r="49" ht="15.75" customHeight="1">
      <c r="A49" s="41"/>
      <c r="B49" s="41"/>
    </row>
    <row r="50" ht="15.75" customHeight="1">
      <c r="A50" s="41"/>
      <c r="B50" s="41"/>
    </row>
    <row r="51" ht="15.75" customHeight="1">
      <c r="A51" s="41"/>
      <c r="B51" s="41"/>
    </row>
    <row r="52" ht="15.75" customHeight="1">
      <c r="A52" s="41"/>
      <c r="B52" s="41"/>
    </row>
    <row r="53" ht="15.75" customHeight="1">
      <c r="A53" s="41"/>
      <c r="B53" s="41"/>
    </row>
    <row r="54" ht="15.75" customHeight="1">
      <c r="A54" s="41"/>
      <c r="B54" s="41"/>
    </row>
    <row r="55" ht="15.75" customHeight="1">
      <c r="A55" s="41"/>
      <c r="B55" s="41"/>
    </row>
    <row r="56" ht="15.75" customHeight="1">
      <c r="A56" s="41"/>
      <c r="B56" s="41"/>
    </row>
    <row r="57" ht="15.75" customHeight="1">
      <c r="A57" s="41"/>
      <c r="B57" s="41"/>
    </row>
    <row r="58" ht="15.75" customHeight="1">
      <c r="A58" s="41"/>
      <c r="B58" s="41"/>
    </row>
    <row r="59" ht="15.75" customHeight="1">
      <c r="A59" s="41"/>
      <c r="B59" s="41"/>
    </row>
    <row r="60" ht="15.75" customHeight="1">
      <c r="A60" s="41"/>
      <c r="B60" s="41"/>
    </row>
    <row r="61" ht="15.75" customHeight="1">
      <c r="A61" s="41"/>
      <c r="B61" s="41"/>
    </row>
    <row r="62" ht="15.75" customHeight="1">
      <c r="A62" s="41"/>
      <c r="B62" s="41"/>
    </row>
    <row r="63" ht="15.75" customHeight="1">
      <c r="A63" s="41"/>
      <c r="B63" s="41"/>
    </row>
    <row r="64" ht="15.75" customHeight="1">
      <c r="A64" s="41"/>
      <c r="B64" s="41"/>
    </row>
    <row r="65" ht="15.75" customHeight="1">
      <c r="A65" s="41"/>
      <c r="B65" s="41"/>
    </row>
    <row r="66" ht="15.75" customHeight="1">
      <c r="A66" s="41"/>
      <c r="B66" s="41"/>
    </row>
    <row r="67" ht="15.75" customHeight="1">
      <c r="A67" s="41"/>
      <c r="B67" s="41"/>
    </row>
    <row r="68" ht="15.75" customHeight="1">
      <c r="A68" s="41"/>
      <c r="B68" s="41"/>
    </row>
    <row r="69" ht="15.75" customHeight="1">
      <c r="A69" s="41"/>
      <c r="B69" s="41"/>
    </row>
    <row r="70" ht="15.75" customHeight="1">
      <c r="A70" s="41"/>
      <c r="B70" s="41"/>
    </row>
    <row r="71" ht="15.75" customHeight="1">
      <c r="A71" s="41"/>
      <c r="B71" s="41"/>
    </row>
    <row r="72" ht="15.75" customHeight="1">
      <c r="A72" s="41"/>
      <c r="B72" s="41"/>
    </row>
    <row r="73" ht="15.75" customHeight="1">
      <c r="A73" s="41"/>
      <c r="B73" s="41"/>
    </row>
    <row r="74" ht="15.75" customHeight="1">
      <c r="A74" s="41"/>
      <c r="B74" s="41"/>
    </row>
    <row r="75" ht="15.75" customHeight="1">
      <c r="A75" s="41"/>
      <c r="B75" s="41"/>
    </row>
    <row r="76" ht="15.75" customHeight="1">
      <c r="A76" s="41"/>
      <c r="B76" s="41"/>
    </row>
    <row r="77" ht="15.75" customHeight="1">
      <c r="A77" s="41"/>
      <c r="B77" s="41"/>
    </row>
    <row r="78" ht="15.75" customHeight="1">
      <c r="A78" s="41"/>
      <c r="B78" s="41"/>
    </row>
    <row r="79" ht="15.75" customHeight="1">
      <c r="A79" s="41"/>
      <c r="B79" s="41"/>
    </row>
    <row r="80" ht="15.75" customHeight="1">
      <c r="A80" s="41"/>
      <c r="B80" s="41"/>
    </row>
    <row r="81" ht="15.75" customHeight="1">
      <c r="A81" s="41"/>
      <c r="B81" s="41"/>
    </row>
    <row r="82" ht="15.75" customHeight="1">
      <c r="A82" s="41"/>
      <c r="B82" s="41"/>
    </row>
    <row r="83" ht="15.75" customHeight="1">
      <c r="A83" s="41"/>
      <c r="B83" s="41"/>
    </row>
    <row r="84" ht="15.75" customHeight="1">
      <c r="A84" s="41"/>
      <c r="B84" s="41"/>
    </row>
    <row r="85" ht="15.75" customHeight="1">
      <c r="A85" s="41"/>
      <c r="B85" s="41"/>
    </row>
    <row r="86" ht="15.75" customHeight="1">
      <c r="A86" s="41"/>
      <c r="B86" s="41"/>
    </row>
    <row r="87" ht="15.75" customHeight="1">
      <c r="A87" s="41"/>
      <c r="B87" s="41"/>
    </row>
    <row r="88" ht="15.75" customHeight="1">
      <c r="A88" s="41"/>
      <c r="B88" s="41"/>
    </row>
    <row r="89" ht="15.75" customHeight="1">
      <c r="A89" s="41"/>
      <c r="B89" s="41"/>
    </row>
    <row r="90" ht="15.75" customHeight="1">
      <c r="A90" s="41"/>
      <c r="B90" s="41"/>
    </row>
    <row r="91" ht="15.75" customHeight="1">
      <c r="A91" s="41"/>
      <c r="B91" s="41"/>
    </row>
    <row r="92" ht="15.75" customHeight="1">
      <c r="A92" s="41"/>
      <c r="B92" s="41"/>
    </row>
    <row r="93" ht="15.75" customHeight="1">
      <c r="A93" s="41"/>
      <c r="B93" s="41"/>
    </row>
    <row r="94" ht="15.75" customHeight="1">
      <c r="A94" s="41"/>
      <c r="B94" s="41"/>
    </row>
    <row r="95" ht="15.75" customHeight="1">
      <c r="A95" s="41"/>
      <c r="B95" s="41"/>
    </row>
    <row r="96" ht="15.75" customHeight="1">
      <c r="A96" s="41"/>
      <c r="B96" s="41"/>
    </row>
    <row r="97" ht="15.75" customHeight="1">
      <c r="A97" s="41"/>
      <c r="B97" s="41"/>
    </row>
    <row r="98" ht="15.75" customHeight="1">
      <c r="A98" s="41"/>
      <c r="B98" s="41"/>
    </row>
    <row r="99" ht="15.75" customHeight="1">
      <c r="A99" s="41"/>
      <c r="B99" s="41"/>
    </row>
    <row r="100" ht="15.75" customHeight="1">
      <c r="A100" s="41"/>
      <c r="B100" s="41"/>
    </row>
    <row r="101" ht="15.75" customHeight="1">
      <c r="A101" s="41"/>
      <c r="B101" s="41"/>
    </row>
    <row r="102" ht="15.75" customHeight="1">
      <c r="A102" s="41"/>
      <c r="B102" s="41"/>
    </row>
    <row r="103" ht="15.75" customHeight="1">
      <c r="A103" s="41"/>
      <c r="B103" s="41"/>
    </row>
    <row r="104" ht="15.75" customHeight="1">
      <c r="A104" s="41"/>
      <c r="B104" s="41"/>
    </row>
    <row r="105" ht="15.75" customHeight="1">
      <c r="A105" s="41"/>
      <c r="B105" s="41"/>
    </row>
    <row r="106" ht="15.75" customHeight="1">
      <c r="A106" s="41"/>
      <c r="B106" s="41"/>
    </row>
    <row r="107" ht="15.75" customHeight="1">
      <c r="A107" s="41"/>
      <c r="B107" s="41"/>
    </row>
    <row r="108" ht="15.75" customHeight="1">
      <c r="A108" s="41"/>
      <c r="B108" s="41"/>
    </row>
    <row r="109" ht="15.75" customHeight="1">
      <c r="A109" s="41"/>
      <c r="B109" s="41"/>
    </row>
    <row r="110" ht="15.75" customHeight="1">
      <c r="A110" s="41"/>
      <c r="B110" s="41"/>
    </row>
    <row r="111" ht="15.75" customHeight="1">
      <c r="A111" s="41"/>
      <c r="B111" s="41"/>
    </row>
    <row r="112" ht="15.75" customHeight="1">
      <c r="A112" s="41"/>
      <c r="B112" s="41"/>
    </row>
    <row r="113" ht="15.75" customHeight="1">
      <c r="A113" s="41"/>
      <c r="B113" s="41"/>
    </row>
    <row r="114" ht="15.75" customHeight="1">
      <c r="A114" s="41"/>
      <c r="B114" s="41"/>
    </row>
    <row r="115" ht="15.75" customHeight="1">
      <c r="A115" s="41"/>
      <c r="B115" s="41"/>
    </row>
    <row r="116" ht="15.75" customHeight="1">
      <c r="A116" s="41"/>
      <c r="B116" s="41"/>
    </row>
    <row r="117" ht="15.75" customHeight="1">
      <c r="A117" s="41"/>
      <c r="B117" s="41"/>
    </row>
    <row r="118" ht="15.75" customHeight="1">
      <c r="A118" s="41"/>
      <c r="B118" s="41"/>
    </row>
    <row r="119" ht="15.75" customHeight="1">
      <c r="A119" s="41"/>
      <c r="B119" s="41"/>
    </row>
    <row r="120" ht="15.75" customHeight="1">
      <c r="A120" s="41"/>
      <c r="B120" s="41"/>
    </row>
    <row r="121" ht="15.75" customHeight="1">
      <c r="A121" s="41"/>
      <c r="B121" s="41"/>
    </row>
    <row r="122" ht="15.75" customHeight="1">
      <c r="A122" s="41"/>
      <c r="B122" s="41"/>
    </row>
    <row r="123" ht="15.75" customHeight="1">
      <c r="A123" s="41"/>
      <c r="B123" s="41"/>
    </row>
    <row r="124" ht="15.75" customHeight="1">
      <c r="A124" s="41"/>
      <c r="B124" s="41"/>
    </row>
    <row r="125" ht="15.75" customHeight="1">
      <c r="A125" s="41"/>
      <c r="B125" s="41"/>
    </row>
    <row r="126" ht="15.75" customHeight="1">
      <c r="A126" s="41"/>
      <c r="B126" s="41"/>
    </row>
    <row r="127" ht="15.75" customHeight="1">
      <c r="A127" s="41"/>
      <c r="B127" s="41"/>
    </row>
    <row r="128" ht="15.75" customHeight="1">
      <c r="A128" s="41"/>
      <c r="B128" s="41"/>
    </row>
    <row r="129" ht="15.75" customHeight="1">
      <c r="A129" s="41"/>
      <c r="B129" s="41"/>
    </row>
    <row r="130" ht="15.75" customHeight="1">
      <c r="A130" s="41"/>
      <c r="B130" s="41"/>
    </row>
    <row r="131" ht="15.75" customHeight="1">
      <c r="A131" s="41"/>
      <c r="B131" s="41"/>
    </row>
    <row r="132" ht="15.75" customHeight="1">
      <c r="A132" s="41"/>
      <c r="B132" s="41"/>
    </row>
    <row r="133" ht="15.75" customHeight="1">
      <c r="A133" s="41"/>
      <c r="B133" s="41"/>
    </row>
    <row r="134" ht="15.75" customHeight="1">
      <c r="A134" s="41"/>
      <c r="B134" s="41"/>
    </row>
    <row r="135" ht="15.75" customHeight="1">
      <c r="A135" s="41"/>
      <c r="B135" s="41"/>
    </row>
    <row r="136" ht="15.75" customHeight="1">
      <c r="A136" s="41"/>
      <c r="B136" s="41"/>
    </row>
    <row r="137" ht="15.75" customHeight="1">
      <c r="A137" s="41"/>
      <c r="B137" s="41"/>
    </row>
    <row r="138" ht="15.75" customHeight="1">
      <c r="A138" s="41"/>
      <c r="B138" s="41"/>
    </row>
    <row r="139" ht="15.75" customHeight="1">
      <c r="A139" s="41"/>
      <c r="B139" s="41"/>
    </row>
    <row r="140" ht="15.75" customHeight="1">
      <c r="A140" s="41"/>
      <c r="B140" s="41"/>
    </row>
    <row r="141" ht="15.75" customHeight="1">
      <c r="A141" s="41"/>
      <c r="B141" s="41"/>
    </row>
    <row r="142" ht="15.75" customHeight="1">
      <c r="A142" s="41"/>
      <c r="B142" s="41"/>
    </row>
    <row r="143" ht="15.75" customHeight="1">
      <c r="A143" s="41"/>
      <c r="B143" s="41"/>
    </row>
    <row r="144" ht="15.75" customHeight="1">
      <c r="A144" s="41"/>
      <c r="B144" s="41"/>
    </row>
    <row r="145" ht="15.75" customHeight="1">
      <c r="A145" s="41"/>
      <c r="B145" s="41"/>
    </row>
    <row r="146" ht="15.75" customHeight="1">
      <c r="A146" s="41"/>
      <c r="B146" s="41"/>
    </row>
    <row r="147" ht="15.75" customHeight="1">
      <c r="A147" s="41"/>
      <c r="B147" s="41"/>
    </row>
    <row r="148" ht="15.75" customHeight="1">
      <c r="A148" s="41"/>
      <c r="B148" s="41"/>
    </row>
    <row r="149" ht="15.75" customHeight="1">
      <c r="A149" s="41"/>
      <c r="B149" s="41"/>
    </row>
    <row r="150" ht="15.75" customHeight="1">
      <c r="A150" s="41"/>
      <c r="B150" s="41"/>
    </row>
    <row r="151" ht="15.75" customHeight="1">
      <c r="A151" s="41"/>
      <c r="B151" s="41"/>
    </row>
    <row r="152" ht="15.75" customHeight="1">
      <c r="A152" s="41"/>
      <c r="B152" s="41"/>
    </row>
    <row r="153" ht="15.75" customHeight="1">
      <c r="A153" s="41"/>
      <c r="B153" s="41"/>
    </row>
    <row r="154" ht="15.75" customHeight="1">
      <c r="A154" s="41"/>
      <c r="B154" s="41"/>
    </row>
    <row r="155" ht="15.75" customHeight="1">
      <c r="A155" s="41"/>
      <c r="B155" s="41"/>
    </row>
    <row r="156" ht="15.75" customHeight="1">
      <c r="A156" s="41"/>
      <c r="B156" s="41"/>
    </row>
    <row r="157" ht="15.75" customHeight="1">
      <c r="A157" s="41"/>
      <c r="B157" s="41"/>
    </row>
    <row r="158" ht="15.75" customHeight="1">
      <c r="A158" s="41"/>
      <c r="B158" s="41"/>
    </row>
    <row r="159" ht="15.75" customHeight="1">
      <c r="A159" s="41"/>
      <c r="B159" s="41"/>
    </row>
    <row r="160" ht="15.75" customHeight="1">
      <c r="A160" s="41"/>
      <c r="B160" s="41"/>
    </row>
    <row r="161" ht="15.75" customHeight="1">
      <c r="A161" s="41"/>
      <c r="B161" s="41"/>
    </row>
    <row r="162" ht="15.75" customHeight="1">
      <c r="A162" s="41"/>
      <c r="B162" s="41"/>
    </row>
    <row r="163" ht="15.75" customHeight="1">
      <c r="A163" s="41"/>
      <c r="B163" s="41"/>
    </row>
    <row r="164" ht="15.75" customHeight="1">
      <c r="A164" s="41"/>
      <c r="B164" s="41"/>
    </row>
    <row r="165" ht="15.75" customHeight="1">
      <c r="A165" s="41"/>
      <c r="B165" s="41"/>
    </row>
    <row r="166" ht="15.75" customHeight="1">
      <c r="A166" s="41"/>
      <c r="B166" s="41"/>
    </row>
    <row r="167" ht="15.75" customHeight="1">
      <c r="A167" s="41"/>
      <c r="B167" s="41"/>
    </row>
    <row r="168" ht="15.75" customHeight="1">
      <c r="A168" s="41"/>
      <c r="B168" s="41"/>
    </row>
    <row r="169" ht="15.75" customHeight="1">
      <c r="A169" s="41"/>
      <c r="B169" s="41"/>
    </row>
    <row r="170" ht="15.75" customHeight="1">
      <c r="A170" s="41"/>
      <c r="B170" s="41"/>
    </row>
    <row r="171" ht="15.75" customHeight="1">
      <c r="A171" s="41"/>
      <c r="B171" s="41"/>
    </row>
    <row r="172" ht="15.75" customHeight="1">
      <c r="A172" s="41"/>
      <c r="B172" s="41"/>
    </row>
    <row r="173" ht="15.75" customHeight="1">
      <c r="A173" s="41"/>
      <c r="B173" s="41"/>
    </row>
    <row r="174" ht="15.75" customHeight="1">
      <c r="A174" s="41"/>
      <c r="B174" s="41"/>
    </row>
    <row r="175" ht="15.75" customHeight="1">
      <c r="A175" s="41"/>
      <c r="B175" s="41"/>
    </row>
    <row r="176" ht="15.75" customHeight="1">
      <c r="A176" s="41"/>
      <c r="B176" s="41"/>
    </row>
    <row r="177" ht="15.75" customHeight="1">
      <c r="A177" s="41"/>
      <c r="B177" s="41"/>
    </row>
    <row r="178" ht="15.75" customHeight="1">
      <c r="A178" s="41"/>
      <c r="B178" s="41"/>
    </row>
    <row r="179" ht="15.75" customHeight="1">
      <c r="A179" s="41"/>
      <c r="B179" s="41"/>
    </row>
    <row r="180" ht="15.75" customHeight="1">
      <c r="A180" s="41"/>
      <c r="B180" s="41"/>
    </row>
    <row r="181" ht="15.75" customHeight="1">
      <c r="A181" s="41"/>
      <c r="B181" s="41"/>
    </row>
    <row r="182" ht="15.75" customHeight="1">
      <c r="A182" s="41"/>
      <c r="B182" s="41"/>
    </row>
    <row r="183" ht="15.75" customHeight="1">
      <c r="A183" s="41"/>
      <c r="B183" s="41"/>
    </row>
    <row r="184" ht="15.75" customHeight="1">
      <c r="A184" s="41"/>
      <c r="B184" s="41"/>
    </row>
    <row r="185" ht="15.75" customHeight="1">
      <c r="A185" s="41"/>
      <c r="B185" s="41"/>
    </row>
    <row r="186" ht="15.75" customHeight="1">
      <c r="A186" s="41"/>
      <c r="B186" s="41"/>
    </row>
    <row r="187" ht="15.75" customHeight="1">
      <c r="A187" s="41"/>
      <c r="B187" s="41"/>
    </row>
    <row r="188" ht="15.75" customHeight="1">
      <c r="A188" s="41"/>
      <c r="B188" s="41"/>
    </row>
    <row r="189" ht="15.75" customHeight="1">
      <c r="A189" s="41"/>
      <c r="B189" s="41"/>
    </row>
    <row r="190" ht="15.75" customHeight="1">
      <c r="A190" s="41"/>
      <c r="B190" s="41"/>
    </row>
    <row r="191" ht="15.75" customHeight="1">
      <c r="A191" s="41"/>
      <c r="B191" s="41"/>
    </row>
    <row r="192" ht="15.75" customHeight="1">
      <c r="A192" s="41"/>
      <c r="B192" s="41"/>
    </row>
    <row r="193" ht="15.75" customHeight="1">
      <c r="A193" s="41"/>
      <c r="B193" s="41"/>
    </row>
    <row r="194" ht="15.75" customHeight="1">
      <c r="A194" s="41"/>
      <c r="B194" s="41"/>
    </row>
    <row r="195" ht="15.75" customHeight="1">
      <c r="A195" s="41"/>
      <c r="B195" s="41"/>
    </row>
    <row r="196" ht="15.75" customHeight="1">
      <c r="A196" s="41"/>
      <c r="B196" s="41"/>
    </row>
    <row r="197" ht="15.75" customHeight="1">
      <c r="A197" s="41"/>
      <c r="B197" s="41"/>
    </row>
    <row r="198" ht="15.75" customHeight="1">
      <c r="A198" s="41"/>
      <c r="B198" s="41"/>
    </row>
    <row r="199" ht="15.75" customHeight="1">
      <c r="A199" s="41"/>
      <c r="B199" s="41"/>
    </row>
    <row r="200" ht="15.75" customHeight="1">
      <c r="A200" s="41"/>
      <c r="B200" s="41"/>
    </row>
    <row r="201" ht="15.75" customHeight="1">
      <c r="A201" s="41"/>
      <c r="B201" s="41"/>
    </row>
    <row r="202" ht="15.75" customHeight="1">
      <c r="A202" s="41"/>
      <c r="B202" s="41"/>
    </row>
    <row r="203" ht="15.75" customHeight="1">
      <c r="A203" s="41"/>
      <c r="B203" s="41"/>
    </row>
    <row r="204" ht="15.75" customHeight="1">
      <c r="A204" s="41"/>
      <c r="B204" s="41"/>
    </row>
    <row r="205" ht="15.75" customHeight="1">
      <c r="A205" s="41"/>
      <c r="B205" s="41"/>
    </row>
    <row r="206" ht="15.75" customHeight="1">
      <c r="A206" s="41"/>
      <c r="B206" s="41"/>
    </row>
    <row r="207" ht="15.75" customHeight="1">
      <c r="A207" s="41"/>
      <c r="B207" s="41"/>
    </row>
    <row r="208" ht="15.75" customHeight="1">
      <c r="A208" s="41"/>
      <c r="B208" s="41"/>
    </row>
    <row r="209" ht="15.75" customHeight="1">
      <c r="A209" s="41"/>
      <c r="B209" s="41"/>
    </row>
    <row r="210" ht="15.75" customHeight="1">
      <c r="A210" s="41"/>
      <c r="B210" s="41"/>
    </row>
    <row r="211" ht="15.75" customHeight="1">
      <c r="A211" s="41"/>
      <c r="B211" s="41"/>
    </row>
    <row r="212" ht="15.75" customHeight="1">
      <c r="A212" s="41"/>
      <c r="B212" s="41"/>
    </row>
    <row r="213" ht="15.75" customHeight="1">
      <c r="A213" s="41"/>
      <c r="B213" s="41"/>
    </row>
    <row r="214" ht="15.75" customHeight="1">
      <c r="A214" s="41"/>
      <c r="B214" s="41"/>
    </row>
    <row r="215" ht="15.75" customHeight="1">
      <c r="A215" s="41"/>
      <c r="B215" s="41"/>
    </row>
    <row r="216" ht="15.75" customHeight="1">
      <c r="A216" s="41"/>
      <c r="B216" s="41"/>
    </row>
    <row r="217" ht="15.75" customHeight="1">
      <c r="A217" s="41"/>
      <c r="B217" s="41"/>
    </row>
    <row r="218" ht="15.75" customHeight="1">
      <c r="A218" s="41"/>
      <c r="B218" s="41"/>
    </row>
    <row r="219" ht="15.75" customHeight="1">
      <c r="A219" s="41"/>
      <c r="B219" s="41"/>
    </row>
    <row r="220" ht="15.75" customHeight="1">
      <c r="A220" s="41"/>
      <c r="B220" s="41"/>
    </row>
    <row r="221" ht="15.75" customHeight="1">
      <c r="A221" s="41"/>
      <c r="B221" s="41"/>
    </row>
    <row r="222" ht="15.75" customHeight="1">
      <c r="A222" s="41"/>
      <c r="B222" s="41"/>
    </row>
    <row r="223" ht="15.75" customHeight="1">
      <c r="A223" s="41"/>
      <c r="B223" s="41"/>
    </row>
    <row r="224" ht="15.75" customHeight="1">
      <c r="A224" s="41"/>
      <c r="B224" s="4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G3:G7"/>
    <mergeCell ref="G17:G18"/>
    <mergeCell ref="H1:J1"/>
    <mergeCell ref="K1:P1"/>
    <mergeCell ref="Q1:S1"/>
    <mergeCell ref="T1:W1"/>
    <mergeCell ref="Z2:AA2"/>
    <mergeCell ref="Z6:AA6"/>
    <mergeCell ref="Z13:AA13"/>
    <mergeCell ref="Z17:AA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38"/>
    <col customWidth="1" min="2" max="2" width="15.88"/>
    <col customWidth="1" min="3" max="6" width="18.25"/>
    <col customWidth="1" min="7" max="7" width="36.63"/>
  </cols>
  <sheetData>
    <row r="1">
      <c r="A1" s="1" t="s">
        <v>22</v>
      </c>
      <c r="B1" s="1" t="s">
        <v>23</v>
      </c>
      <c r="C1" s="1" t="s">
        <v>24</v>
      </c>
      <c r="D1" s="1" t="s">
        <v>25</v>
      </c>
      <c r="E1" s="1" t="s">
        <v>26</v>
      </c>
      <c r="F1" s="1" t="s">
        <v>27</v>
      </c>
      <c r="G1" s="1" t="s">
        <v>28</v>
      </c>
    </row>
    <row r="2">
      <c r="A2" s="3">
        <v>1.0</v>
      </c>
      <c r="B2" s="3" t="s">
        <v>29</v>
      </c>
      <c r="C2" s="3" t="s">
        <v>30</v>
      </c>
      <c r="D2" s="3" t="s">
        <v>31</v>
      </c>
      <c r="E2" s="3" t="s">
        <v>32</v>
      </c>
      <c r="F2" s="2" t="s">
        <v>33</v>
      </c>
      <c r="G2" s="2" t="s">
        <v>34</v>
      </c>
    </row>
    <row r="3">
      <c r="A3" s="3">
        <v>2.0</v>
      </c>
      <c r="B3" s="3" t="s">
        <v>35</v>
      </c>
      <c r="C3" s="3" t="s">
        <v>36</v>
      </c>
      <c r="D3" s="3" t="s">
        <v>31</v>
      </c>
      <c r="E3" s="3" t="s">
        <v>32</v>
      </c>
      <c r="F3" s="2" t="s">
        <v>37</v>
      </c>
      <c r="G3" s="4"/>
    </row>
    <row r="4">
      <c r="A4" s="3">
        <v>3.0</v>
      </c>
      <c r="B4" s="3" t="s">
        <v>38</v>
      </c>
      <c r="C4" s="3" t="s">
        <v>36</v>
      </c>
      <c r="D4" s="3" t="s">
        <v>31</v>
      </c>
      <c r="E4" s="3" t="s">
        <v>32</v>
      </c>
      <c r="F4" s="2" t="s">
        <v>37</v>
      </c>
      <c r="G4" s="4"/>
    </row>
    <row r="5">
      <c r="A5" s="3">
        <v>4.0</v>
      </c>
      <c r="B5" s="3" t="s">
        <v>39</v>
      </c>
      <c r="C5" s="3" t="s">
        <v>36</v>
      </c>
      <c r="D5" s="3" t="s">
        <v>31</v>
      </c>
      <c r="E5" s="3" t="s">
        <v>32</v>
      </c>
      <c r="F5" s="2" t="s">
        <v>37</v>
      </c>
      <c r="G5" s="4"/>
    </row>
    <row r="6">
      <c r="A6" s="3">
        <v>5.0</v>
      </c>
      <c r="B6" s="3" t="s">
        <v>40</v>
      </c>
      <c r="C6" s="3" t="s">
        <v>36</v>
      </c>
      <c r="D6" s="3" t="s">
        <v>31</v>
      </c>
      <c r="E6" s="3" t="s">
        <v>32</v>
      </c>
      <c r="F6" s="2" t="s">
        <v>37</v>
      </c>
      <c r="G6" s="5"/>
    </row>
    <row r="7">
      <c r="A7" s="3">
        <v>6.0</v>
      </c>
      <c r="B7" s="3" t="s">
        <v>41</v>
      </c>
      <c r="C7" s="3" t="s">
        <v>42</v>
      </c>
      <c r="D7" s="3" t="s">
        <v>31</v>
      </c>
      <c r="E7" s="3" t="s">
        <v>43</v>
      </c>
      <c r="F7" s="3" t="s">
        <v>33</v>
      </c>
      <c r="G7" s="3" t="s">
        <v>44</v>
      </c>
    </row>
    <row r="8">
      <c r="A8" s="3">
        <v>7.0</v>
      </c>
      <c r="B8" s="3" t="s">
        <v>45</v>
      </c>
      <c r="C8" s="3" t="s">
        <v>42</v>
      </c>
      <c r="D8" s="3" t="s">
        <v>31</v>
      </c>
      <c r="E8" s="3" t="s">
        <v>46</v>
      </c>
      <c r="F8" s="3" t="s">
        <v>33</v>
      </c>
      <c r="G8" s="3" t="s">
        <v>47</v>
      </c>
    </row>
    <row r="9">
      <c r="A9" s="3">
        <v>8.0</v>
      </c>
      <c r="B9" s="3" t="s">
        <v>48</v>
      </c>
      <c r="C9" s="3" t="s">
        <v>49</v>
      </c>
      <c r="D9" s="3" t="s">
        <v>50</v>
      </c>
      <c r="E9" s="3" t="s">
        <v>51</v>
      </c>
      <c r="F9" s="3" t="s">
        <v>33</v>
      </c>
      <c r="G9" s="3" t="s">
        <v>52</v>
      </c>
    </row>
    <row r="10">
      <c r="A10" s="3">
        <v>9.0</v>
      </c>
      <c r="B10" s="3" t="s">
        <v>53</v>
      </c>
      <c r="C10" s="3" t="s">
        <v>49</v>
      </c>
      <c r="D10" s="3" t="s">
        <v>31</v>
      </c>
      <c r="E10" s="3" t="s">
        <v>51</v>
      </c>
      <c r="F10" s="3" t="s">
        <v>33</v>
      </c>
      <c r="G10" s="3" t="s">
        <v>54</v>
      </c>
    </row>
    <row r="11">
      <c r="A11" s="3">
        <v>10.0</v>
      </c>
      <c r="B11" s="3" t="s">
        <v>55</v>
      </c>
      <c r="C11" s="3" t="s">
        <v>36</v>
      </c>
      <c r="D11" s="3" t="s">
        <v>56</v>
      </c>
      <c r="E11" s="3" t="s">
        <v>57</v>
      </c>
      <c r="F11" s="3" t="s">
        <v>37</v>
      </c>
      <c r="G11" s="3" t="s">
        <v>58</v>
      </c>
    </row>
    <row r="12">
      <c r="A12" s="3">
        <v>11.0</v>
      </c>
      <c r="B12" s="3" t="s">
        <v>59</v>
      </c>
      <c r="C12" s="3" t="s">
        <v>30</v>
      </c>
      <c r="D12" s="3" t="s">
        <v>60</v>
      </c>
      <c r="E12" s="3" t="s">
        <v>46</v>
      </c>
      <c r="F12" s="3" t="s">
        <v>37</v>
      </c>
      <c r="G12" s="3" t="s">
        <v>61</v>
      </c>
    </row>
    <row r="13">
      <c r="A13" s="3">
        <v>12.0</v>
      </c>
      <c r="B13" s="3" t="s">
        <v>62</v>
      </c>
      <c r="C13" s="3" t="s">
        <v>36</v>
      </c>
      <c r="D13" s="3" t="s">
        <v>63</v>
      </c>
      <c r="E13" s="3" t="s">
        <v>64</v>
      </c>
      <c r="F13" s="3" t="s">
        <v>37</v>
      </c>
      <c r="G13" s="3" t="s">
        <v>65</v>
      </c>
    </row>
    <row r="14">
      <c r="A14" s="3">
        <v>13.0</v>
      </c>
      <c r="B14" s="3" t="s">
        <v>66</v>
      </c>
      <c r="C14" s="3" t="s">
        <v>67</v>
      </c>
      <c r="D14" s="3" t="s">
        <v>68</v>
      </c>
      <c r="E14" s="3" t="s">
        <v>69</v>
      </c>
      <c r="F14" s="3" t="s">
        <v>33</v>
      </c>
      <c r="G14" s="3" t="s">
        <v>70</v>
      </c>
    </row>
    <row r="15">
      <c r="A15" s="3">
        <v>14.0</v>
      </c>
      <c r="B15" s="7" t="s">
        <v>71</v>
      </c>
      <c r="C15" s="7" t="s">
        <v>42</v>
      </c>
      <c r="D15" s="3" t="s">
        <v>72</v>
      </c>
      <c r="E15" s="3" t="s">
        <v>57</v>
      </c>
      <c r="F15" s="3" t="s">
        <v>37</v>
      </c>
      <c r="G15" s="3" t="s">
        <v>73</v>
      </c>
    </row>
    <row r="16">
      <c r="A16" s="3">
        <v>15.0</v>
      </c>
      <c r="B16" s="3" t="s">
        <v>74</v>
      </c>
      <c r="C16" s="3" t="s">
        <v>36</v>
      </c>
      <c r="D16" s="3" t="s">
        <v>75</v>
      </c>
      <c r="E16" s="3" t="s">
        <v>69</v>
      </c>
      <c r="F16" s="2" t="s">
        <v>37</v>
      </c>
      <c r="G16" s="2" t="s">
        <v>76</v>
      </c>
    </row>
    <row r="17">
      <c r="A17" s="3">
        <v>16.0</v>
      </c>
      <c r="B17" s="3" t="s">
        <v>77</v>
      </c>
      <c r="C17" s="3" t="s">
        <v>36</v>
      </c>
      <c r="D17" s="3" t="s">
        <v>75</v>
      </c>
      <c r="E17" s="3" t="s">
        <v>69</v>
      </c>
      <c r="F17" s="6" t="s">
        <v>37</v>
      </c>
      <c r="G17" s="5"/>
    </row>
    <row r="18">
      <c r="A18" s="3">
        <v>17.0</v>
      </c>
      <c r="B18" s="3" t="s">
        <v>78</v>
      </c>
      <c r="C18" s="3" t="s">
        <v>36</v>
      </c>
      <c r="D18" s="3" t="s">
        <v>79</v>
      </c>
      <c r="E18" s="3" t="s">
        <v>80</v>
      </c>
      <c r="F18" s="3" t="s">
        <v>37</v>
      </c>
      <c r="G18" s="3" t="s">
        <v>81</v>
      </c>
    </row>
    <row r="19">
      <c r="A19" s="3">
        <v>18.0</v>
      </c>
      <c r="B19" s="3" t="s">
        <v>82</v>
      </c>
      <c r="C19" s="3" t="s">
        <v>36</v>
      </c>
      <c r="D19" s="3" t="s">
        <v>79</v>
      </c>
      <c r="E19" s="3" t="s">
        <v>80</v>
      </c>
      <c r="F19" s="3" t="s">
        <v>37</v>
      </c>
      <c r="G19" s="3" t="s">
        <v>83</v>
      </c>
    </row>
    <row r="20">
      <c r="A20" s="3">
        <v>19.0</v>
      </c>
      <c r="B20" s="3" t="s">
        <v>84</v>
      </c>
      <c r="C20" s="3" t="s">
        <v>30</v>
      </c>
      <c r="D20" s="3" t="s">
        <v>85</v>
      </c>
      <c r="E20" s="3" t="s">
        <v>86</v>
      </c>
      <c r="F20" s="3" t="s">
        <v>37</v>
      </c>
      <c r="G20" s="3" t="s">
        <v>87</v>
      </c>
    </row>
    <row r="21" ht="15.75" customHeight="1">
      <c r="A21" s="3">
        <v>20.0</v>
      </c>
      <c r="B21" s="3" t="s">
        <v>88</v>
      </c>
      <c r="C21" s="3" t="s">
        <v>36</v>
      </c>
      <c r="D21" s="3" t="s">
        <v>89</v>
      </c>
      <c r="E21" s="3" t="s">
        <v>51</v>
      </c>
      <c r="F21" s="3" t="s">
        <v>37</v>
      </c>
      <c r="G21" s="3" t="s">
        <v>90</v>
      </c>
    </row>
    <row r="22" ht="15.75" customHeight="1">
      <c r="A22" s="3">
        <v>21.0</v>
      </c>
      <c r="B22" s="3" t="s">
        <v>91</v>
      </c>
      <c r="C22" s="3" t="s">
        <v>49</v>
      </c>
      <c r="D22" s="3" t="s">
        <v>92</v>
      </c>
      <c r="E22" s="3" t="s">
        <v>93</v>
      </c>
      <c r="F22" s="3" t="s">
        <v>33</v>
      </c>
      <c r="G22" s="3" t="s">
        <v>94</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G2:G6"/>
    <mergeCell ref="G16:G17"/>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23.75"/>
    <col customWidth="1" min="4" max="6" width="9.38"/>
  </cols>
  <sheetData>
    <row r="1">
      <c r="A1" s="1" t="s">
        <v>95</v>
      </c>
      <c r="B1" s="1" t="s">
        <v>96</v>
      </c>
      <c r="C1" s="1" t="s">
        <v>97</v>
      </c>
    </row>
    <row r="2">
      <c r="A2" s="3" t="s">
        <v>98</v>
      </c>
      <c r="B2" s="3" t="s">
        <v>99</v>
      </c>
      <c r="C2" s="3" t="s">
        <v>100</v>
      </c>
    </row>
    <row r="3">
      <c r="A3" s="3" t="s">
        <v>101</v>
      </c>
      <c r="B3" s="3" t="s">
        <v>102</v>
      </c>
      <c r="C3" s="3" t="s">
        <v>103</v>
      </c>
    </row>
    <row r="4">
      <c r="A4" s="3" t="s">
        <v>104</v>
      </c>
      <c r="B4" s="3" t="s">
        <v>105</v>
      </c>
      <c r="C4" s="3" t="s">
        <v>106</v>
      </c>
    </row>
    <row r="5">
      <c r="A5" s="7" t="s">
        <v>107</v>
      </c>
      <c r="B5" s="7" t="s">
        <v>108</v>
      </c>
      <c r="C5" s="3" t="s">
        <v>109</v>
      </c>
    </row>
    <row r="6">
      <c r="A6" s="3" t="s">
        <v>110</v>
      </c>
      <c r="B6" s="3" t="s">
        <v>111</v>
      </c>
      <c r="C6" s="3" t="s">
        <v>112</v>
      </c>
    </row>
    <row r="7" ht="120.75" customHeight="1">
      <c r="A7" s="8" t="s">
        <v>113</v>
      </c>
      <c r="B7" s="8" t="s">
        <v>114</v>
      </c>
      <c r="C7" s="9" t="s">
        <v>115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c r="E306" s="10" t="s">
        <v>116</v>
      </c>
    </row>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38"/>
    <col customWidth="1" min="2" max="2" width="29.0"/>
    <col customWidth="1" min="3" max="3" width="37.38"/>
    <col customWidth="1" min="4" max="4" width="31.0"/>
    <col customWidth="1" min="5" max="24" width="9.38"/>
  </cols>
  <sheetData>
    <row r="1">
      <c r="A1" s="11"/>
      <c r="B1" s="12" t="s">
        <v>117</v>
      </c>
      <c r="E1" s="13"/>
      <c r="F1" s="13"/>
      <c r="G1" s="13"/>
      <c r="H1" s="13"/>
      <c r="I1" s="13"/>
      <c r="J1" s="13"/>
      <c r="K1" s="13"/>
      <c r="L1" s="13"/>
      <c r="M1" s="13"/>
      <c r="N1" s="13"/>
      <c r="O1" s="13"/>
      <c r="P1" s="13"/>
      <c r="Q1" s="13"/>
      <c r="R1" s="13"/>
      <c r="S1" s="13"/>
      <c r="T1" s="13"/>
      <c r="U1" s="13"/>
      <c r="V1" s="13"/>
      <c r="W1" s="13"/>
      <c r="X1" s="13"/>
    </row>
    <row r="2">
      <c r="A2" s="14"/>
      <c r="B2" s="15" t="s">
        <v>118</v>
      </c>
      <c r="C2" s="16" t="s">
        <v>119</v>
      </c>
      <c r="D2" s="17" t="s">
        <v>120</v>
      </c>
      <c r="E2" s="13"/>
      <c r="F2" s="13"/>
      <c r="G2" s="13"/>
      <c r="H2" s="13"/>
      <c r="I2" s="13"/>
      <c r="J2" s="13"/>
      <c r="K2" s="13"/>
      <c r="L2" s="13"/>
      <c r="M2" s="13"/>
      <c r="N2" s="13"/>
      <c r="O2" s="13"/>
      <c r="P2" s="13"/>
      <c r="Q2" s="13"/>
      <c r="R2" s="13"/>
      <c r="S2" s="13"/>
      <c r="T2" s="13"/>
      <c r="U2" s="13"/>
      <c r="V2" s="13"/>
      <c r="W2" s="13"/>
      <c r="X2" s="13"/>
    </row>
    <row r="3">
      <c r="A3" s="11" t="s">
        <v>51</v>
      </c>
      <c r="B3" s="18" t="s">
        <v>121</v>
      </c>
      <c r="C3" s="19" t="s">
        <v>122</v>
      </c>
      <c r="D3" s="20" t="s">
        <v>123</v>
      </c>
      <c r="E3" s="13"/>
      <c r="F3" s="13"/>
      <c r="G3" s="13"/>
      <c r="H3" s="13"/>
      <c r="I3" s="13"/>
      <c r="J3" s="13"/>
      <c r="K3" s="13"/>
      <c r="L3" s="13"/>
      <c r="M3" s="13"/>
      <c r="N3" s="13"/>
      <c r="O3" s="13"/>
      <c r="P3" s="13"/>
      <c r="Q3" s="13"/>
      <c r="R3" s="13"/>
      <c r="S3" s="13"/>
      <c r="T3" s="13"/>
      <c r="U3" s="13"/>
      <c r="V3" s="13"/>
      <c r="W3" s="13"/>
      <c r="X3" s="13"/>
    </row>
    <row r="4">
      <c r="A4" s="11" t="s">
        <v>46</v>
      </c>
      <c r="B4" s="21" t="s">
        <v>124</v>
      </c>
      <c r="C4" s="22" t="s">
        <v>125</v>
      </c>
      <c r="D4" s="23" t="s">
        <v>126</v>
      </c>
      <c r="E4" s="13"/>
      <c r="F4" s="13"/>
      <c r="G4" s="13"/>
      <c r="H4" s="13"/>
      <c r="I4" s="13"/>
      <c r="J4" s="13"/>
      <c r="K4" s="13"/>
      <c r="L4" s="13"/>
      <c r="M4" s="13"/>
      <c r="N4" s="13"/>
      <c r="O4" s="13"/>
      <c r="P4" s="13"/>
      <c r="Q4" s="13"/>
      <c r="R4" s="13"/>
      <c r="S4" s="13"/>
      <c r="T4" s="13"/>
      <c r="U4" s="13"/>
      <c r="V4" s="13"/>
      <c r="W4" s="13"/>
      <c r="X4" s="13"/>
    </row>
    <row r="5" ht="15.75" customHeight="1">
      <c r="A5" s="14" t="s">
        <v>93</v>
      </c>
      <c r="B5" s="16" t="s">
        <v>119</v>
      </c>
      <c r="C5" s="24" t="s">
        <v>127</v>
      </c>
      <c r="D5" s="16" t="s">
        <v>119</v>
      </c>
      <c r="E5" s="13"/>
      <c r="F5" s="13"/>
      <c r="G5" s="13"/>
      <c r="H5" s="13"/>
      <c r="I5" s="13"/>
      <c r="J5" s="13"/>
      <c r="K5" s="13"/>
      <c r="L5" s="13"/>
      <c r="M5" s="13"/>
      <c r="N5" s="13"/>
      <c r="O5" s="13"/>
      <c r="P5" s="13"/>
      <c r="Q5" s="13"/>
      <c r="R5" s="13"/>
      <c r="S5" s="13"/>
      <c r="T5" s="13"/>
      <c r="U5" s="13"/>
      <c r="V5" s="13"/>
      <c r="W5" s="13"/>
      <c r="X5" s="13"/>
    </row>
    <row r="6">
      <c r="A6" s="13"/>
      <c r="B6" s="13"/>
      <c r="C6" s="13"/>
      <c r="D6" s="13"/>
      <c r="E6" s="13"/>
      <c r="F6" s="13"/>
      <c r="G6" s="13"/>
      <c r="H6" s="13"/>
      <c r="I6" s="13"/>
      <c r="J6" s="13"/>
      <c r="K6" s="13"/>
      <c r="L6" s="13"/>
      <c r="M6" s="13"/>
      <c r="N6" s="13"/>
      <c r="O6" s="13"/>
      <c r="P6" s="13"/>
      <c r="Q6" s="13"/>
      <c r="R6" s="13"/>
      <c r="S6" s="13"/>
      <c r="T6" s="13"/>
      <c r="U6" s="13"/>
      <c r="V6" s="13"/>
      <c r="W6" s="13"/>
      <c r="X6" s="13"/>
    </row>
    <row r="7">
      <c r="A7" s="13"/>
      <c r="B7" s="13"/>
      <c r="C7" s="13"/>
      <c r="D7" s="13"/>
      <c r="E7" s="13"/>
      <c r="F7" s="13"/>
      <c r="G7" s="13"/>
      <c r="H7" s="13"/>
      <c r="I7" s="13"/>
      <c r="J7" s="13"/>
      <c r="K7" s="13"/>
      <c r="L7" s="13"/>
      <c r="M7" s="13"/>
      <c r="N7" s="13"/>
      <c r="O7" s="13"/>
      <c r="P7" s="13"/>
      <c r="Q7" s="13"/>
      <c r="R7" s="13"/>
      <c r="S7" s="13"/>
      <c r="T7" s="13"/>
      <c r="U7" s="13"/>
      <c r="V7" s="13"/>
      <c r="W7" s="13"/>
      <c r="X7" s="13"/>
    </row>
    <row r="8">
      <c r="A8" s="13"/>
      <c r="B8" s="13"/>
      <c r="C8" s="13"/>
      <c r="D8" s="13"/>
      <c r="E8" s="13"/>
      <c r="F8" s="13"/>
      <c r="G8" s="13"/>
      <c r="H8" s="13"/>
      <c r="I8" s="13"/>
      <c r="J8" s="13"/>
      <c r="K8" s="13"/>
      <c r="L8" s="13"/>
      <c r="M8" s="13"/>
      <c r="N8" s="13"/>
      <c r="O8" s="13"/>
      <c r="P8" s="13"/>
      <c r="Q8" s="13"/>
      <c r="R8" s="13"/>
      <c r="S8" s="13"/>
      <c r="T8" s="13"/>
      <c r="U8" s="13"/>
      <c r="V8" s="13"/>
      <c r="W8" s="13"/>
      <c r="X8" s="13"/>
    </row>
    <row r="9">
      <c r="A9" s="13"/>
      <c r="B9" s="13"/>
      <c r="C9" s="13"/>
      <c r="D9" s="13"/>
      <c r="E9" s="13"/>
      <c r="F9" s="13"/>
      <c r="G9" s="13"/>
      <c r="H9" s="13"/>
      <c r="I9" s="13"/>
      <c r="J9" s="13"/>
      <c r="K9" s="13"/>
      <c r="L9" s="13"/>
      <c r="M9" s="13"/>
      <c r="N9" s="13"/>
      <c r="O9" s="13"/>
      <c r="P9" s="13"/>
      <c r="Q9" s="13"/>
      <c r="R9" s="13"/>
      <c r="S9" s="13"/>
      <c r="T9" s="13"/>
      <c r="U9" s="13"/>
      <c r="V9" s="13"/>
      <c r="W9" s="13"/>
      <c r="X9" s="13"/>
    </row>
    <row r="10">
      <c r="A10" s="13"/>
      <c r="B10" s="13"/>
      <c r="C10" s="13"/>
      <c r="D10" s="13"/>
      <c r="E10" s="13"/>
      <c r="F10" s="13"/>
      <c r="G10" s="13"/>
      <c r="H10" s="13"/>
      <c r="I10" s="13"/>
      <c r="J10" s="13"/>
      <c r="K10" s="13"/>
      <c r="L10" s="13"/>
      <c r="M10" s="13"/>
      <c r="N10" s="13"/>
      <c r="O10" s="13"/>
      <c r="P10" s="13"/>
      <c r="Q10" s="13"/>
      <c r="R10" s="13"/>
      <c r="S10" s="13"/>
      <c r="T10" s="13"/>
      <c r="U10" s="13"/>
      <c r="V10" s="13"/>
      <c r="W10" s="13"/>
      <c r="X10" s="13"/>
    </row>
    <row r="11">
      <c r="A11" s="13"/>
      <c r="B11" s="13"/>
      <c r="C11" s="13"/>
      <c r="D11" s="13"/>
      <c r="E11" s="13"/>
      <c r="F11" s="13"/>
      <c r="G11" s="13"/>
      <c r="H11" s="13"/>
      <c r="I11" s="13"/>
      <c r="J11" s="13"/>
      <c r="K11" s="13"/>
      <c r="L11" s="13"/>
      <c r="M11" s="13"/>
      <c r="N11" s="13"/>
      <c r="O11" s="13"/>
      <c r="P11" s="13"/>
      <c r="Q11" s="13"/>
      <c r="R11" s="13"/>
      <c r="S11" s="13"/>
      <c r="T11" s="13"/>
      <c r="U11" s="13"/>
      <c r="V11" s="13"/>
      <c r="W11" s="13"/>
      <c r="X11" s="13"/>
    </row>
    <row r="12">
      <c r="A12" s="13"/>
      <c r="B12" s="13"/>
      <c r="C12" s="13"/>
      <c r="D12" s="13"/>
      <c r="E12" s="13"/>
      <c r="F12" s="13"/>
      <c r="G12" s="13"/>
      <c r="H12" s="13"/>
      <c r="I12" s="13"/>
      <c r="J12" s="13"/>
      <c r="K12" s="13"/>
      <c r="L12" s="13"/>
      <c r="M12" s="13"/>
      <c r="N12" s="13"/>
      <c r="O12" s="13"/>
      <c r="P12" s="13"/>
      <c r="Q12" s="13"/>
      <c r="R12" s="13"/>
      <c r="S12" s="13"/>
      <c r="T12" s="13"/>
      <c r="U12" s="13"/>
      <c r="V12" s="13"/>
      <c r="W12" s="13"/>
      <c r="X12" s="13"/>
    </row>
    <row r="13">
      <c r="A13" s="13"/>
      <c r="B13" s="13"/>
      <c r="C13" s="13"/>
      <c r="D13" s="13"/>
      <c r="E13" s="13"/>
      <c r="F13" s="13"/>
      <c r="G13" s="13"/>
      <c r="H13" s="13"/>
      <c r="I13" s="13"/>
      <c r="J13" s="13"/>
      <c r="K13" s="13"/>
      <c r="L13" s="13"/>
      <c r="M13" s="13"/>
      <c r="N13" s="13"/>
      <c r="O13" s="13"/>
      <c r="P13" s="13"/>
      <c r="Q13" s="13"/>
      <c r="R13" s="13"/>
      <c r="S13" s="13"/>
      <c r="T13" s="13"/>
      <c r="U13" s="13"/>
      <c r="V13" s="13"/>
      <c r="W13" s="13"/>
      <c r="X13" s="13"/>
    </row>
    <row r="14">
      <c r="A14" s="13"/>
      <c r="B14" s="13"/>
      <c r="C14" s="13"/>
      <c r="D14" s="13"/>
      <c r="E14" s="13"/>
      <c r="F14" s="13"/>
      <c r="G14" s="13"/>
      <c r="H14" s="13"/>
      <c r="I14" s="13"/>
      <c r="J14" s="13"/>
      <c r="K14" s="13"/>
      <c r="L14" s="13"/>
      <c r="M14" s="13"/>
      <c r="N14" s="13"/>
      <c r="O14" s="13"/>
      <c r="P14" s="13"/>
      <c r="Q14" s="13"/>
      <c r="R14" s="13"/>
      <c r="S14" s="13"/>
      <c r="T14" s="13"/>
      <c r="U14" s="13"/>
      <c r="V14" s="13"/>
      <c r="W14" s="13"/>
      <c r="X14" s="13"/>
    </row>
    <row r="15">
      <c r="A15" s="13"/>
      <c r="B15" s="13"/>
      <c r="C15" s="13"/>
      <c r="D15" s="13"/>
      <c r="E15" s="13"/>
      <c r="F15" s="13"/>
      <c r="G15" s="13"/>
      <c r="H15" s="13"/>
      <c r="I15" s="13"/>
      <c r="J15" s="13"/>
      <c r="K15" s="13"/>
      <c r="L15" s="13"/>
      <c r="M15" s="13"/>
      <c r="N15" s="13"/>
      <c r="O15" s="13"/>
      <c r="P15" s="13"/>
      <c r="Q15" s="13"/>
      <c r="R15" s="13"/>
      <c r="S15" s="13"/>
      <c r="T15" s="13"/>
      <c r="U15" s="13"/>
      <c r="V15" s="13"/>
      <c r="W15" s="13"/>
      <c r="X15" s="13"/>
    </row>
    <row r="16">
      <c r="A16" s="13"/>
      <c r="B16" s="13"/>
      <c r="C16" s="13"/>
      <c r="D16" s="13"/>
      <c r="E16" s="13"/>
      <c r="F16" s="13"/>
      <c r="G16" s="13"/>
      <c r="H16" s="13"/>
      <c r="I16" s="13"/>
      <c r="J16" s="13"/>
      <c r="K16" s="13"/>
      <c r="L16" s="13"/>
      <c r="M16" s="13"/>
      <c r="N16" s="13"/>
      <c r="O16" s="13"/>
      <c r="P16" s="13"/>
      <c r="Q16" s="13"/>
      <c r="R16" s="13"/>
      <c r="S16" s="13"/>
      <c r="T16" s="13"/>
      <c r="U16" s="13"/>
      <c r="V16" s="13"/>
      <c r="W16" s="13"/>
      <c r="X16" s="13"/>
    </row>
    <row r="17">
      <c r="A17" s="13"/>
      <c r="B17" s="13"/>
      <c r="C17" s="13"/>
      <c r="D17" s="13"/>
      <c r="E17" s="13"/>
      <c r="F17" s="13"/>
      <c r="G17" s="13"/>
      <c r="H17" s="13"/>
      <c r="I17" s="13"/>
      <c r="J17" s="13"/>
      <c r="K17" s="13"/>
      <c r="L17" s="13"/>
      <c r="M17" s="13"/>
      <c r="N17" s="13"/>
      <c r="O17" s="13"/>
      <c r="P17" s="13"/>
      <c r="Q17" s="13"/>
      <c r="R17" s="13"/>
      <c r="S17" s="13"/>
      <c r="T17" s="13"/>
      <c r="U17" s="13"/>
      <c r="V17" s="13"/>
      <c r="W17" s="13"/>
      <c r="X17" s="13"/>
    </row>
    <row r="18">
      <c r="A18" s="13"/>
      <c r="B18" s="13"/>
      <c r="C18" s="13"/>
      <c r="D18" s="13"/>
      <c r="E18" s="13"/>
      <c r="F18" s="13"/>
      <c r="G18" s="13"/>
      <c r="H18" s="13"/>
      <c r="I18" s="13"/>
      <c r="J18" s="13"/>
      <c r="K18" s="13"/>
      <c r="L18" s="13"/>
      <c r="M18" s="13"/>
      <c r="N18" s="13"/>
      <c r="O18" s="13"/>
      <c r="P18" s="13"/>
      <c r="Q18" s="13"/>
      <c r="R18" s="13"/>
      <c r="S18" s="13"/>
      <c r="T18" s="13"/>
      <c r="U18" s="13"/>
      <c r="V18" s="13"/>
      <c r="W18" s="13"/>
      <c r="X18" s="13"/>
    </row>
    <row r="19">
      <c r="A19" s="13"/>
      <c r="B19" s="13"/>
      <c r="C19" s="13"/>
      <c r="D19" s="13"/>
      <c r="E19" s="13"/>
      <c r="F19" s="13"/>
      <c r="G19" s="13"/>
      <c r="H19" s="13"/>
      <c r="I19" s="13"/>
      <c r="J19" s="13"/>
      <c r="K19" s="13"/>
      <c r="L19" s="13"/>
      <c r="M19" s="13"/>
      <c r="N19" s="13"/>
      <c r="O19" s="13"/>
      <c r="P19" s="13"/>
      <c r="Q19" s="13"/>
      <c r="R19" s="13"/>
      <c r="S19" s="13"/>
      <c r="T19" s="13"/>
      <c r="U19" s="13"/>
      <c r="V19" s="13"/>
      <c r="W19" s="13"/>
      <c r="X19" s="13"/>
    </row>
    <row r="20">
      <c r="A20" s="13"/>
      <c r="B20" s="13"/>
      <c r="C20" s="13"/>
      <c r="D20" s="13"/>
      <c r="E20" s="13"/>
      <c r="F20" s="13"/>
      <c r="G20" s="13"/>
      <c r="H20" s="13"/>
      <c r="I20" s="13"/>
      <c r="J20" s="13"/>
      <c r="K20" s="13"/>
      <c r="L20" s="13"/>
      <c r="M20" s="13"/>
      <c r="N20" s="13"/>
      <c r="O20" s="13"/>
      <c r="P20" s="13"/>
      <c r="Q20" s="13"/>
      <c r="R20" s="13"/>
      <c r="S20" s="13"/>
      <c r="T20" s="13"/>
      <c r="U20" s="13"/>
      <c r="V20" s="13"/>
      <c r="W20" s="13"/>
      <c r="X20" s="13"/>
    </row>
    <row r="21" ht="15.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row>
    <row r="22" ht="15.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ht="15.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row>
    <row r="2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29.0"/>
    <col customWidth="1" min="3" max="3" width="37.38"/>
    <col customWidth="1" min="4" max="4" width="31.0"/>
    <col customWidth="1" min="5" max="6" width="9.38"/>
  </cols>
  <sheetData>
    <row r="1">
      <c r="A1" s="1" t="s">
        <v>128</v>
      </c>
      <c r="B1" s="25" t="s">
        <v>117</v>
      </c>
      <c r="C1" s="26"/>
      <c r="D1" s="27"/>
    </row>
    <row r="2" ht="100.5" customHeight="1">
      <c r="A2" s="28" t="s">
        <v>129</v>
      </c>
      <c r="B2" s="29" t="s">
        <v>130</v>
      </c>
      <c r="C2" s="30" t="s">
        <v>122</v>
      </c>
      <c r="D2" s="31"/>
    </row>
    <row r="3" ht="100.5" customHeight="1">
      <c r="A3" s="5"/>
      <c r="B3" s="32" t="s">
        <v>124</v>
      </c>
      <c r="C3" s="33" t="s">
        <v>131</v>
      </c>
      <c r="D3" s="34" t="s">
        <v>126</v>
      </c>
    </row>
    <row r="4" ht="6.75" customHeight="1">
      <c r="A4" s="35"/>
    </row>
    <row r="5">
      <c r="A5" s="1" t="s">
        <v>128</v>
      </c>
      <c r="B5" s="25" t="s">
        <v>117</v>
      </c>
      <c r="C5" s="26"/>
      <c r="D5" s="27"/>
    </row>
    <row r="6">
      <c r="A6" s="28" t="s">
        <v>132</v>
      </c>
      <c r="B6" s="36" t="s">
        <v>133</v>
      </c>
      <c r="C6" s="30" t="s">
        <v>122</v>
      </c>
      <c r="D6" s="37" t="s">
        <v>134</v>
      </c>
    </row>
    <row r="7" ht="100.5" customHeight="1">
      <c r="A7" s="5"/>
      <c r="B7" s="32" t="s">
        <v>124</v>
      </c>
      <c r="C7" s="33" t="s">
        <v>135</v>
      </c>
      <c r="D7" s="34" t="s">
        <v>126</v>
      </c>
    </row>
    <row r="8" ht="8.25" customHeight="1">
      <c r="A8" s="35"/>
    </row>
    <row r="9">
      <c r="A9" s="1" t="s">
        <v>128</v>
      </c>
      <c r="B9" s="25" t="s">
        <v>117</v>
      </c>
      <c r="C9" s="26"/>
      <c r="D9" s="27"/>
    </row>
    <row r="10">
      <c r="A10" s="28" t="s">
        <v>136</v>
      </c>
      <c r="B10" s="36" t="s">
        <v>121</v>
      </c>
      <c r="C10" s="38" t="s">
        <v>122</v>
      </c>
      <c r="D10" s="37"/>
    </row>
    <row r="11">
      <c r="A11" s="5"/>
      <c r="B11" s="32" t="s">
        <v>124</v>
      </c>
      <c r="C11" s="33" t="s">
        <v>137</v>
      </c>
      <c r="D11" s="34" t="s">
        <v>126</v>
      </c>
    </row>
    <row r="12">
      <c r="A12" s="35"/>
    </row>
    <row r="13">
      <c r="A13" s="35"/>
    </row>
    <row r="14">
      <c r="A14" s="35"/>
    </row>
    <row r="15">
      <c r="A15" s="35"/>
    </row>
    <row r="16">
      <c r="A16" s="35"/>
    </row>
    <row r="17">
      <c r="A17" s="35"/>
    </row>
    <row r="18">
      <c r="A18" s="35"/>
    </row>
    <row r="19">
      <c r="A19" s="35"/>
    </row>
    <row r="20">
      <c r="A20" s="35"/>
    </row>
    <row r="21" ht="15.75" customHeight="1">
      <c r="A21" s="35"/>
    </row>
    <row r="22" ht="15.75" customHeight="1">
      <c r="A22" s="35"/>
    </row>
    <row r="23" ht="15.75" customHeight="1">
      <c r="A23" s="35"/>
    </row>
    <row r="24" ht="15.75" customHeight="1">
      <c r="A24" s="35"/>
    </row>
    <row r="25" ht="15.75" customHeight="1">
      <c r="A25" s="35"/>
    </row>
    <row r="26" ht="15.75" customHeight="1">
      <c r="A26" s="35"/>
    </row>
    <row r="27" ht="15.75" customHeight="1">
      <c r="A27" s="35"/>
    </row>
    <row r="28" ht="15.75" customHeight="1">
      <c r="A28" s="35"/>
    </row>
    <row r="29" ht="15.75" customHeight="1">
      <c r="A29" s="35"/>
    </row>
    <row r="30" ht="15.75" customHeight="1">
      <c r="A30" s="35"/>
    </row>
    <row r="31" ht="15.75" customHeight="1">
      <c r="A31" s="35"/>
    </row>
    <row r="32" ht="15.75" customHeight="1">
      <c r="A32" s="35"/>
    </row>
    <row r="33" ht="15.75" customHeight="1">
      <c r="A33" s="35"/>
    </row>
    <row r="34" ht="15.75" customHeight="1">
      <c r="A34" s="35"/>
    </row>
    <row r="35" ht="15.75" customHeight="1">
      <c r="A35" s="35"/>
    </row>
    <row r="36" ht="15.75" customHeight="1">
      <c r="A36" s="35"/>
    </row>
    <row r="37" ht="15.75" customHeight="1">
      <c r="A37" s="35"/>
    </row>
    <row r="38" ht="15.75" customHeight="1">
      <c r="A38" s="35"/>
    </row>
    <row r="39" ht="15.75" customHeight="1">
      <c r="A39" s="35"/>
    </row>
    <row r="40" ht="15.75" customHeight="1">
      <c r="A40" s="35"/>
    </row>
    <row r="41" ht="15.75" customHeight="1">
      <c r="A41" s="35"/>
    </row>
    <row r="42" ht="15.75" customHeight="1">
      <c r="A42" s="35"/>
    </row>
    <row r="43" ht="15.75" customHeight="1">
      <c r="A43" s="35"/>
    </row>
    <row r="44" ht="15.75" customHeight="1">
      <c r="A44" s="35"/>
    </row>
    <row r="45" ht="15.75" customHeight="1">
      <c r="A45" s="35"/>
    </row>
    <row r="46" ht="15.75" customHeight="1">
      <c r="A46" s="35"/>
    </row>
    <row r="47" ht="15.75" customHeight="1">
      <c r="A47" s="35"/>
    </row>
    <row r="48" ht="15.75" customHeight="1">
      <c r="A48" s="35"/>
    </row>
    <row r="49" ht="15.75" customHeight="1">
      <c r="A49" s="35"/>
    </row>
    <row r="50" ht="15.75" customHeight="1">
      <c r="A50" s="35"/>
    </row>
    <row r="51" ht="15.75" customHeight="1">
      <c r="A51" s="35"/>
    </row>
    <row r="52" ht="15.75" customHeight="1">
      <c r="A52" s="35"/>
    </row>
    <row r="53" ht="15.75" customHeight="1">
      <c r="A53" s="35"/>
    </row>
    <row r="54" ht="15.75" customHeight="1">
      <c r="A54" s="35"/>
    </row>
    <row r="55" ht="15.75" customHeight="1">
      <c r="A55" s="35"/>
    </row>
    <row r="56" ht="15.75" customHeight="1">
      <c r="A56" s="35"/>
    </row>
    <row r="57" ht="15.75" customHeight="1">
      <c r="A57" s="35"/>
    </row>
    <row r="58" ht="15.75" customHeight="1">
      <c r="A58" s="35"/>
    </row>
    <row r="59" ht="15.75" customHeight="1">
      <c r="A59" s="35"/>
    </row>
    <row r="60" ht="15.75" customHeight="1">
      <c r="A60" s="35"/>
    </row>
    <row r="61" ht="15.75" customHeight="1">
      <c r="A61" s="35"/>
    </row>
    <row r="62" ht="15.75" customHeight="1">
      <c r="A62" s="35"/>
    </row>
    <row r="63" ht="15.75" customHeight="1">
      <c r="A63" s="35"/>
    </row>
    <row r="64" ht="15.75" customHeight="1">
      <c r="A64" s="35"/>
    </row>
    <row r="65" ht="15.75" customHeight="1">
      <c r="A65" s="35"/>
    </row>
    <row r="66" ht="15.75" customHeight="1">
      <c r="A66" s="35"/>
    </row>
    <row r="67" ht="15.75" customHeight="1">
      <c r="A67" s="35"/>
    </row>
    <row r="68" ht="15.75" customHeight="1">
      <c r="A68" s="35"/>
    </row>
    <row r="69" ht="15.75" customHeight="1">
      <c r="A69" s="35"/>
    </row>
    <row r="70" ht="15.75" customHeight="1">
      <c r="A70" s="35"/>
    </row>
    <row r="71" ht="15.75" customHeight="1">
      <c r="A71" s="35"/>
    </row>
    <row r="72" ht="15.75" customHeight="1">
      <c r="A72" s="35"/>
    </row>
    <row r="73" ht="15.75" customHeight="1">
      <c r="A73" s="35"/>
    </row>
    <row r="74" ht="15.75" customHeight="1">
      <c r="A74" s="35"/>
    </row>
    <row r="75" ht="15.75" customHeight="1">
      <c r="A75" s="35"/>
    </row>
    <row r="76" ht="15.75" customHeight="1">
      <c r="A76" s="35"/>
    </row>
    <row r="77" ht="15.75" customHeight="1">
      <c r="A77" s="35"/>
    </row>
    <row r="78" ht="15.75" customHeight="1">
      <c r="A78" s="35"/>
    </row>
    <row r="79" ht="15.75" customHeight="1">
      <c r="A79" s="35"/>
    </row>
    <row r="80" ht="15.75" customHeight="1">
      <c r="A80" s="35"/>
    </row>
    <row r="81" ht="15.75" customHeight="1">
      <c r="A81" s="35"/>
    </row>
    <row r="82" ht="15.75" customHeight="1">
      <c r="A82" s="35"/>
    </row>
    <row r="83" ht="15.75" customHeight="1">
      <c r="A83" s="35"/>
    </row>
    <row r="84" ht="15.75" customHeight="1">
      <c r="A84" s="35"/>
    </row>
    <row r="85" ht="15.75" customHeight="1">
      <c r="A85" s="35"/>
    </row>
    <row r="86" ht="15.75" customHeight="1">
      <c r="A86" s="35"/>
    </row>
    <row r="87" ht="15.75" customHeight="1">
      <c r="A87" s="35"/>
    </row>
    <row r="88" ht="15.75" customHeight="1">
      <c r="A88" s="35"/>
    </row>
    <row r="89" ht="15.75" customHeight="1">
      <c r="A89" s="35"/>
    </row>
    <row r="90" ht="15.75" customHeight="1">
      <c r="A90" s="35"/>
    </row>
    <row r="91" ht="15.75" customHeight="1">
      <c r="A91" s="35"/>
    </row>
    <row r="92" ht="15.75" customHeight="1">
      <c r="A92" s="35"/>
    </row>
    <row r="93" ht="15.75" customHeight="1">
      <c r="A93" s="35"/>
    </row>
    <row r="94" ht="15.75" customHeight="1">
      <c r="A94" s="35"/>
    </row>
    <row r="95" ht="15.75" customHeight="1">
      <c r="A95" s="35"/>
    </row>
    <row r="96" ht="15.75" customHeight="1">
      <c r="A96" s="35"/>
    </row>
    <row r="97" ht="15.75" customHeight="1">
      <c r="A97" s="35"/>
    </row>
    <row r="98" ht="15.75" customHeight="1">
      <c r="A98" s="35"/>
    </row>
    <row r="99" ht="15.75" customHeight="1">
      <c r="A99" s="35"/>
    </row>
    <row r="100" ht="15.75" customHeight="1">
      <c r="A100" s="35"/>
    </row>
    <row r="101" ht="15.75" customHeight="1">
      <c r="A101" s="35"/>
    </row>
    <row r="102" ht="15.75" customHeight="1">
      <c r="A102" s="35"/>
    </row>
    <row r="103" ht="15.75" customHeight="1">
      <c r="A103" s="35"/>
    </row>
    <row r="104" ht="15.75" customHeight="1">
      <c r="A104" s="35"/>
    </row>
    <row r="105" ht="15.75" customHeight="1">
      <c r="A105" s="35"/>
    </row>
    <row r="106" ht="15.75" customHeight="1">
      <c r="A106" s="35"/>
    </row>
    <row r="107" ht="15.75" customHeight="1">
      <c r="A107" s="35"/>
    </row>
    <row r="108" ht="15.75" customHeight="1">
      <c r="A108" s="35"/>
    </row>
    <row r="109" ht="15.75" customHeight="1">
      <c r="A109" s="35"/>
    </row>
    <row r="110" ht="15.75" customHeight="1">
      <c r="A110" s="35"/>
    </row>
    <row r="111" ht="15.75" customHeight="1">
      <c r="A111" s="35"/>
    </row>
    <row r="112" ht="15.75" customHeight="1">
      <c r="A112" s="35"/>
    </row>
    <row r="113" ht="15.75" customHeight="1">
      <c r="A113" s="35"/>
    </row>
    <row r="114" ht="15.75" customHeight="1">
      <c r="A114" s="35"/>
    </row>
    <row r="115" ht="15.75" customHeight="1">
      <c r="A115" s="35"/>
    </row>
    <row r="116" ht="15.75" customHeight="1">
      <c r="A116" s="35"/>
    </row>
    <row r="117" ht="15.75" customHeight="1">
      <c r="A117" s="35"/>
    </row>
    <row r="118" ht="15.75" customHeight="1">
      <c r="A118" s="35"/>
    </row>
    <row r="119" ht="15.75" customHeight="1">
      <c r="A119" s="35"/>
    </row>
    <row r="120" ht="15.75" customHeight="1">
      <c r="A120" s="35"/>
    </row>
    <row r="121" ht="15.75" customHeight="1">
      <c r="A121" s="35"/>
    </row>
    <row r="122" ht="15.75" customHeight="1">
      <c r="A122" s="35"/>
    </row>
    <row r="123" ht="15.75" customHeight="1">
      <c r="A123" s="35"/>
    </row>
    <row r="124" ht="15.75" customHeight="1">
      <c r="A124" s="35"/>
    </row>
    <row r="125" ht="15.75" customHeight="1">
      <c r="A125" s="35"/>
    </row>
    <row r="126" ht="15.75" customHeight="1">
      <c r="A126" s="35"/>
    </row>
    <row r="127" ht="15.75" customHeight="1">
      <c r="A127" s="35"/>
    </row>
    <row r="128" ht="15.75" customHeight="1">
      <c r="A128" s="35"/>
    </row>
    <row r="129" ht="15.75" customHeight="1">
      <c r="A129" s="35"/>
    </row>
    <row r="130" ht="15.75" customHeight="1">
      <c r="A130" s="35"/>
    </row>
    <row r="131" ht="15.75" customHeight="1">
      <c r="A131" s="35"/>
    </row>
    <row r="132" ht="15.75" customHeight="1">
      <c r="A132" s="35"/>
    </row>
    <row r="133" ht="15.75" customHeight="1">
      <c r="A133" s="35"/>
    </row>
    <row r="134" ht="15.75" customHeight="1">
      <c r="A134" s="35"/>
    </row>
    <row r="135" ht="15.75" customHeight="1">
      <c r="A135" s="35"/>
    </row>
    <row r="136" ht="15.75" customHeight="1">
      <c r="A136" s="35"/>
    </row>
    <row r="137" ht="15.75" customHeight="1">
      <c r="A137" s="35"/>
    </row>
    <row r="138" ht="15.75" customHeight="1">
      <c r="A138" s="35"/>
    </row>
    <row r="139" ht="15.75" customHeight="1">
      <c r="A139" s="35"/>
    </row>
    <row r="140" ht="15.75" customHeight="1">
      <c r="A140" s="35"/>
    </row>
    <row r="141" ht="15.75" customHeight="1">
      <c r="A141" s="35"/>
    </row>
    <row r="142" ht="15.75" customHeight="1">
      <c r="A142" s="35"/>
    </row>
    <row r="143" ht="15.75" customHeight="1">
      <c r="A143" s="35"/>
    </row>
    <row r="144" ht="15.75" customHeight="1">
      <c r="A144" s="35"/>
    </row>
    <row r="145" ht="15.75" customHeight="1">
      <c r="A145" s="35"/>
    </row>
    <row r="146" ht="15.75" customHeight="1">
      <c r="A146" s="35"/>
    </row>
    <row r="147" ht="15.75" customHeight="1">
      <c r="A147" s="35"/>
    </row>
    <row r="148" ht="15.75" customHeight="1">
      <c r="A148" s="35"/>
    </row>
    <row r="149" ht="15.75" customHeight="1">
      <c r="A149" s="35"/>
    </row>
    <row r="150" ht="15.75" customHeight="1">
      <c r="A150" s="35"/>
    </row>
    <row r="151" ht="15.75" customHeight="1">
      <c r="A151" s="35"/>
    </row>
    <row r="152" ht="15.75" customHeight="1">
      <c r="A152" s="35"/>
    </row>
    <row r="153" ht="15.75" customHeight="1">
      <c r="A153" s="35"/>
    </row>
    <row r="154" ht="15.75" customHeight="1">
      <c r="A154" s="35"/>
    </row>
    <row r="155" ht="15.75" customHeight="1">
      <c r="A155" s="35"/>
    </row>
    <row r="156" ht="15.75" customHeight="1">
      <c r="A156" s="35"/>
    </row>
    <row r="157" ht="15.75" customHeight="1">
      <c r="A157" s="35"/>
    </row>
    <row r="158" ht="15.75" customHeight="1">
      <c r="A158" s="35"/>
    </row>
    <row r="159" ht="15.75" customHeight="1">
      <c r="A159" s="35"/>
    </row>
    <row r="160" ht="15.75" customHeight="1">
      <c r="A160" s="35"/>
    </row>
    <row r="161" ht="15.75" customHeight="1">
      <c r="A161" s="35"/>
    </row>
    <row r="162" ht="15.75" customHeight="1">
      <c r="A162" s="35"/>
    </row>
    <row r="163" ht="15.75" customHeight="1">
      <c r="A163" s="35"/>
    </row>
    <row r="164" ht="15.75" customHeight="1">
      <c r="A164" s="35"/>
    </row>
    <row r="165" ht="15.75" customHeight="1">
      <c r="A165" s="35"/>
    </row>
    <row r="166" ht="15.75" customHeight="1">
      <c r="A166" s="35"/>
    </row>
    <row r="167" ht="15.75" customHeight="1">
      <c r="A167" s="35"/>
    </row>
    <row r="168" ht="15.75" customHeight="1">
      <c r="A168" s="35"/>
    </row>
    <row r="169" ht="15.75" customHeight="1">
      <c r="A169" s="35"/>
    </row>
    <row r="170" ht="15.75" customHeight="1">
      <c r="A170" s="35"/>
    </row>
    <row r="171" ht="15.75" customHeight="1">
      <c r="A171" s="35"/>
    </row>
    <row r="172" ht="15.75" customHeight="1">
      <c r="A172" s="35"/>
    </row>
    <row r="173" ht="15.75" customHeight="1">
      <c r="A173" s="35"/>
    </row>
    <row r="174" ht="15.75" customHeight="1">
      <c r="A174" s="35"/>
    </row>
    <row r="175" ht="15.75" customHeight="1">
      <c r="A175" s="35"/>
    </row>
    <row r="176" ht="15.75" customHeight="1">
      <c r="A176" s="35"/>
    </row>
    <row r="177" ht="15.75" customHeight="1">
      <c r="A177" s="35"/>
    </row>
    <row r="178" ht="15.75" customHeight="1">
      <c r="A178" s="35"/>
    </row>
    <row r="179" ht="15.75" customHeight="1">
      <c r="A179" s="35"/>
    </row>
    <row r="180" ht="15.75" customHeight="1">
      <c r="A180" s="35"/>
    </row>
    <row r="181" ht="15.75" customHeight="1">
      <c r="A181" s="35"/>
    </row>
    <row r="182" ht="15.75" customHeight="1">
      <c r="A182" s="35"/>
    </row>
    <row r="183" ht="15.75" customHeight="1">
      <c r="A183" s="35"/>
    </row>
    <row r="184" ht="15.75" customHeight="1">
      <c r="A184" s="35"/>
    </row>
    <row r="185" ht="15.75" customHeight="1">
      <c r="A185" s="35"/>
    </row>
    <row r="186" ht="15.75" customHeight="1">
      <c r="A186" s="35"/>
    </row>
    <row r="187" ht="15.75" customHeight="1">
      <c r="A187" s="35"/>
    </row>
    <row r="188" ht="15.75" customHeight="1">
      <c r="A188" s="35"/>
    </row>
    <row r="189" ht="15.75" customHeight="1">
      <c r="A189" s="35"/>
    </row>
    <row r="190" ht="15.75" customHeight="1">
      <c r="A190" s="35"/>
    </row>
    <row r="191" ht="15.75" customHeight="1">
      <c r="A191" s="35"/>
    </row>
    <row r="192" ht="15.75" customHeight="1">
      <c r="A192" s="35"/>
    </row>
    <row r="193" ht="15.75" customHeight="1">
      <c r="A193" s="35"/>
    </row>
    <row r="194" ht="15.75" customHeight="1">
      <c r="A194" s="35"/>
    </row>
    <row r="195" ht="15.75" customHeight="1">
      <c r="A195" s="35"/>
    </row>
    <row r="196" ht="15.75" customHeight="1">
      <c r="A196" s="35"/>
    </row>
    <row r="197" ht="15.75" customHeight="1">
      <c r="A197" s="35"/>
    </row>
    <row r="198" ht="15.75" customHeight="1">
      <c r="A198" s="35"/>
    </row>
    <row r="199" ht="15.75" customHeight="1">
      <c r="A199" s="35"/>
    </row>
    <row r="200" ht="15.75" customHeight="1">
      <c r="A200" s="35"/>
    </row>
    <row r="201" ht="15.75" customHeight="1">
      <c r="A201" s="35"/>
    </row>
    <row r="202" ht="15.75" customHeight="1">
      <c r="A202" s="35"/>
    </row>
    <row r="203" ht="15.75" customHeight="1">
      <c r="A203" s="35"/>
    </row>
    <row r="204" ht="15.75" customHeight="1">
      <c r="A204" s="35"/>
    </row>
    <row r="205" ht="15.75" customHeight="1">
      <c r="A205" s="35"/>
    </row>
    <row r="206" ht="15.75" customHeight="1">
      <c r="A206" s="35"/>
    </row>
    <row r="207" ht="15.75" customHeight="1">
      <c r="A207" s="35"/>
    </row>
    <row r="208" ht="15.75" customHeight="1">
      <c r="A208" s="35"/>
    </row>
    <row r="209" ht="15.75" customHeight="1">
      <c r="A209" s="35"/>
    </row>
    <row r="210" ht="15.75" customHeight="1">
      <c r="A210" s="35"/>
    </row>
    <row r="211" ht="15.75" customHeight="1">
      <c r="A211" s="35"/>
    </row>
    <row r="212" ht="15.75" customHeight="1">
      <c r="A212" s="35"/>
    </row>
    <row r="213" ht="15.75" customHeight="1">
      <c r="A213" s="35"/>
    </row>
    <row r="214" ht="15.75" customHeight="1">
      <c r="A214" s="35"/>
    </row>
    <row r="215" ht="15.75" customHeight="1">
      <c r="A215" s="35"/>
    </row>
    <row r="216" ht="15.75" customHeight="1">
      <c r="A216" s="35"/>
    </row>
    <row r="217" ht="15.75" customHeight="1">
      <c r="A217" s="35"/>
    </row>
    <row r="218" ht="15.75" customHeight="1">
      <c r="A218" s="35"/>
    </row>
    <row r="219" ht="15.75" customHeight="1">
      <c r="A219" s="35"/>
    </row>
    <row r="220" ht="15.75" customHeight="1">
      <c r="A220" s="3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D1"/>
    <mergeCell ref="A2:A3"/>
    <mergeCell ref="B5:D5"/>
    <mergeCell ref="A6:A7"/>
    <mergeCell ref="B9:D9"/>
    <mergeCell ref="A10:A11"/>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25"/>
    <col customWidth="1" min="2" max="2" width="54.63"/>
    <col customWidth="1" min="3" max="6" width="9.38"/>
  </cols>
  <sheetData>
    <row r="1">
      <c r="A1" s="1" t="s">
        <v>138</v>
      </c>
      <c r="B1" s="1" t="s">
        <v>139</v>
      </c>
    </row>
    <row r="2">
      <c r="A2" s="28" t="s">
        <v>69</v>
      </c>
      <c r="B2" s="3" t="s">
        <v>140</v>
      </c>
    </row>
    <row r="3">
      <c r="A3" s="4"/>
      <c r="B3" s="3" t="s">
        <v>141</v>
      </c>
    </row>
    <row r="4">
      <c r="A4" s="4"/>
      <c r="B4" s="3" t="s">
        <v>142</v>
      </c>
    </row>
    <row r="5">
      <c r="A5" s="5"/>
      <c r="B5" s="3" t="s">
        <v>143</v>
      </c>
    </row>
    <row r="6">
      <c r="A6" s="28" t="s">
        <v>144</v>
      </c>
      <c r="B6" s="3" t="s">
        <v>145</v>
      </c>
    </row>
    <row r="7">
      <c r="A7" s="4"/>
      <c r="B7" s="3" t="s">
        <v>146</v>
      </c>
    </row>
    <row r="8">
      <c r="A8" s="4"/>
      <c r="B8" s="3" t="s">
        <v>147</v>
      </c>
    </row>
    <row r="9">
      <c r="A9" s="4"/>
      <c r="B9" s="3" t="s">
        <v>148</v>
      </c>
    </row>
    <row r="10">
      <c r="A10" s="4"/>
      <c r="B10" s="3" t="s">
        <v>149</v>
      </c>
    </row>
    <row r="11">
      <c r="A11" s="5"/>
      <c r="B11" s="3" t="s">
        <v>150</v>
      </c>
    </row>
    <row r="12">
      <c r="A12" s="28" t="s">
        <v>86</v>
      </c>
      <c r="B12" s="3" t="s">
        <v>151</v>
      </c>
    </row>
    <row r="13">
      <c r="A13" s="5"/>
      <c r="B13" s="3" t="s">
        <v>152</v>
      </c>
    </row>
    <row r="14">
      <c r="A14" s="1" t="s">
        <v>93</v>
      </c>
      <c r="B14" s="3" t="s">
        <v>153</v>
      </c>
    </row>
    <row r="15">
      <c r="A15" s="1" t="s">
        <v>51</v>
      </c>
      <c r="B15" s="3" t="s">
        <v>154</v>
      </c>
    </row>
    <row r="16">
      <c r="A16" s="1" t="s">
        <v>46</v>
      </c>
      <c r="B16" s="3" t="s">
        <v>155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A5"/>
    <mergeCell ref="A6:A11"/>
    <mergeCell ref="A12:A13"/>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
    <col customWidth="1" min="2" max="2" width="8.75"/>
    <col customWidth="1" min="3" max="3" width="20.5"/>
    <col customWidth="1" min="4" max="5" width="30.88"/>
    <col customWidth="1" min="6" max="6" width="62.5"/>
    <col customWidth="1" min="7" max="7" width="7.75"/>
    <col customWidth="1" min="8" max="8" width="53.75"/>
    <col customWidth="1" min="9" max="9" width="19.13"/>
    <col customWidth="1" min="10" max="10" width="23.13"/>
    <col customWidth="1" min="11" max="11" width="17.63"/>
    <col customWidth="1" min="12" max="12" width="9.38"/>
    <col customWidth="1" min="13" max="13" width="68.63"/>
    <col customWidth="1" min="14" max="14" width="26.88"/>
    <col customWidth="1" min="15" max="15" width="9.38"/>
    <col customWidth="1" min="16" max="16" width="20.5"/>
    <col customWidth="1" min="17" max="17" width="62.5"/>
    <col customWidth="1" min="18" max="18" width="11.75"/>
    <col customWidth="1" min="19" max="19" width="13.0"/>
    <col customWidth="1" min="20" max="20" width="18.38"/>
    <col customWidth="1" min="21" max="21" width="25.75"/>
    <col customWidth="1" min="22" max="22" width="19.63"/>
    <col customWidth="1" min="23" max="23" width="3.5"/>
    <col customWidth="1" min="24" max="24" width="92.25"/>
    <col customWidth="1" min="25" max="25" width="19.63"/>
    <col customWidth="1" min="26" max="28" width="9.38"/>
    <col customWidth="1" min="29" max="29" width="12.25"/>
    <col customWidth="1" min="30" max="30" width="9.38"/>
  </cols>
  <sheetData>
    <row r="1">
      <c r="A1" s="39" t="s">
        <v>156</v>
      </c>
      <c r="B1" s="39" t="s">
        <v>157</v>
      </c>
      <c r="C1" s="39" t="s">
        <v>158</v>
      </c>
      <c r="D1" s="39" t="s">
        <v>159</v>
      </c>
      <c r="E1" s="39" t="s">
        <v>160</v>
      </c>
      <c r="F1" s="39" t="s">
        <v>161</v>
      </c>
      <c r="G1" s="39" t="s">
        <v>162</v>
      </c>
      <c r="H1" s="39" t="s">
        <v>163</v>
      </c>
      <c r="I1" s="39" t="s">
        <v>164</v>
      </c>
      <c r="J1" s="39" t="s">
        <v>165</v>
      </c>
      <c r="K1" s="39" t="s">
        <v>166</v>
      </c>
      <c r="M1" s="40" t="s">
        <v>167</v>
      </c>
      <c r="P1" s="41" t="s">
        <v>168</v>
      </c>
      <c r="X1" s="41" t="s">
        <v>169</v>
      </c>
    </row>
    <row r="2">
      <c r="A2" s="42">
        <v>2019.0</v>
      </c>
      <c r="B2" s="42" t="s">
        <v>170</v>
      </c>
      <c r="C2" s="42" t="s">
        <v>51</v>
      </c>
      <c r="D2" s="42" t="s">
        <v>171</v>
      </c>
      <c r="E2" s="42" t="s">
        <v>172</v>
      </c>
      <c r="F2" s="42" t="s">
        <v>173</v>
      </c>
      <c r="G2" s="42" t="s">
        <v>174</v>
      </c>
      <c r="H2" s="43" t="s">
        <v>175</v>
      </c>
      <c r="I2" s="39"/>
      <c r="J2" s="42"/>
      <c r="K2" s="42">
        <v>4.0E7</v>
      </c>
      <c r="P2" s="39" t="s">
        <v>138</v>
      </c>
      <c r="Q2" s="39" t="s">
        <v>161</v>
      </c>
      <c r="R2" s="39" t="s">
        <v>162</v>
      </c>
      <c r="S2" s="39" t="s">
        <v>177</v>
      </c>
      <c r="T2" s="39" t="s">
        <v>178</v>
      </c>
      <c r="U2" s="39" t="s">
        <v>179</v>
      </c>
      <c r="V2" s="41"/>
      <c r="W2" s="39" t="s">
        <v>22</v>
      </c>
      <c r="X2" s="45" t="s">
        <v>180</v>
      </c>
      <c r="Y2" s="46" t="s">
        <v>162</v>
      </c>
      <c r="Z2" s="39" t="s">
        <v>177</v>
      </c>
    </row>
    <row r="3">
      <c r="A3" s="42">
        <v>2019.0</v>
      </c>
      <c r="B3" s="42" t="s">
        <v>170</v>
      </c>
      <c r="C3" s="42" t="s">
        <v>46</v>
      </c>
      <c r="D3" s="42" t="s">
        <v>181</v>
      </c>
      <c r="E3" s="42" t="s">
        <v>182</v>
      </c>
      <c r="F3" s="42" t="s">
        <v>183</v>
      </c>
      <c r="G3" s="42" t="s">
        <v>184</v>
      </c>
      <c r="H3" s="42" t="s">
        <v>185</v>
      </c>
      <c r="I3" s="39"/>
      <c r="J3" s="42"/>
      <c r="K3" s="42">
        <f>1.7*POWER(10,6)</f>
        <v>1700000</v>
      </c>
      <c r="P3" s="40"/>
      <c r="Q3" s="41" t="s">
        <v>186</v>
      </c>
      <c r="R3" s="41"/>
      <c r="S3" s="41"/>
      <c r="T3" s="41"/>
      <c r="U3" s="47"/>
      <c r="W3" s="48">
        <v>1.0</v>
      </c>
      <c r="X3" s="49" t="s">
        <v>188</v>
      </c>
      <c r="Y3" s="49" t="str">
        <f t="shared" ref="Y3:Z3" si="1">+T4</f>
        <v>millones de m3/año</v>
      </c>
      <c r="Z3" s="49">
        <f t="shared" si="1"/>
        <v>9</v>
      </c>
    </row>
    <row r="4">
      <c r="A4" s="42">
        <v>2019.0</v>
      </c>
      <c r="B4" s="42" t="s">
        <v>170</v>
      </c>
      <c r="C4" s="42" t="s">
        <v>51</v>
      </c>
      <c r="D4" s="42" t="s">
        <v>189</v>
      </c>
      <c r="E4" s="42" t="s">
        <v>190</v>
      </c>
      <c r="F4" s="42" t="s">
        <v>191</v>
      </c>
      <c r="G4" s="42" t="s">
        <v>174</v>
      </c>
      <c r="H4" s="50" t="s">
        <v>192</v>
      </c>
      <c r="I4" s="39"/>
      <c r="J4" s="42"/>
      <c r="K4" s="51">
        <f>18750*POWER(10,6)</f>
        <v>18750000000</v>
      </c>
      <c r="P4" s="52" t="s">
        <v>64</v>
      </c>
      <c r="Q4" s="53" t="s">
        <v>194</v>
      </c>
      <c r="R4" s="53" t="s">
        <v>174</v>
      </c>
      <c r="S4" s="53">
        <v>9000000.0</v>
      </c>
      <c r="T4" s="53" t="s">
        <v>195</v>
      </c>
      <c r="U4" s="54">
        <f t="shared" ref="U4:U11" si="3">+S4/1000000</f>
        <v>9</v>
      </c>
      <c r="V4" s="55"/>
      <c r="W4" s="56">
        <v>2.0</v>
      </c>
      <c r="X4" s="48" t="s">
        <v>196</v>
      </c>
      <c r="Y4" s="49" t="str">
        <f t="shared" ref="Y4:Z4" si="2">+T5</f>
        <v>millones de m3/año</v>
      </c>
      <c r="Z4" s="49">
        <f t="shared" si="2"/>
        <v>420</v>
      </c>
    </row>
    <row r="5">
      <c r="A5" s="42">
        <v>2019.0</v>
      </c>
      <c r="B5" s="42" t="s">
        <v>170</v>
      </c>
      <c r="C5" s="42" t="s">
        <v>46</v>
      </c>
      <c r="D5" s="42" t="s">
        <v>197</v>
      </c>
      <c r="E5" s="42" t="s">
        <v>198</v>
      </c>
      <c r="F5" s="42" t="s">
        <v>199</v>
      </c>
      <c r="G5" s="42" t="s">
        <v>200</v>
      </c>
      <c r="H5" s="42" t="s">
        <v>201</v>
      </c>
      <c r="I5" s="39"/>
      <c r="J5" s="39"/>
      <c r="K5" s="42">
        <f>1.56*POWER(10,6)</f>
        <v>1560000</v>
      </c>
      <c r="P5" s="52" t="s">
        <v>64</v>
      </c>
      <c r="Q5" s="53" t="s">
        <v>203</v>
      </c>
      <c r="R5" s="53" t="s">
        <v>174</v>
      </c>
      <c r="S5" s="53">
        <v>4.2E8</v>
      </c>
      <c r="T5" s="53" t="s">
        <v>195</v>
      </c>
      <c r="U5" s="54">
        <f t="shared" si="3"/>
        <v>420</v>
      </c>
      <c r="V5" s="55"/>
      <c r="W5" s="56">
        <v>3.0</v>
      </c>
      <c r="X5" s="49" t="s">
        <v>204</v>
      </c>
      <c r="Y5" s="49" t="str">
        <f t="shared" ref="Y5:Y7" si="4">+T6</f>
        <v>millones de m3/año</v>
      </c>
      <c r="Z5" s="49">
        <f>+U6+U7+U8+U10</f>
        <v>25.611</v>
      </c>
    </row>
    <row r="6">
      <c r="A6" s="42">
        <v>2019.0</v>
      </c>
      <c r="B6" s="42" t="s">
        <v>170</v>
      </c>
      <c r="C6" s="42" t="s">
        <v>93</v>
      </c>
      <c r="D6" s="43" t="s">
        <v>205</v>
      </c>
      <c r="E6" s="43" t="s">
        <v>206</v>
      </c>
      <c r="F6" s="43" t="s">
        <v>207</v>
      </c>
      <c r="G6" s="43" t="s">
        <v>208</v>
      </c>
      <c r="H6" s="43" t="s">
        <v>209</v>
      </c>
      <c r="I6" s="39"/>
      <c r="J6" s="39"/>
      <c r="K6" s="43">
        <f>2.53*POWER(10,6)</f>
        <v>2530000</v>
      </c>
      <c r="P6" s="52" t="s">
        <v>64</v>
      </c>
      <c r="Q6" s="53" t="s">
        <v>211</v>
      </c>
      <c r="R6" s="53" t="s">
        <v>174</v>
      </c>
      <c r="S6" s="53">
        <v>2.4E7</v>
      </c>
      <c r="T6" s="53" t="s">
        <v>195</v>
      </c>
      <c r="U6" s="54">
        <f t="shared" si="3"/>
        <v>24</v>
      </c>
      <c r="V6" s="55"/>
      <c r="W6" s="48">
        <v>4.0</v>
      </c>
      <c r="X6" s="49" t="s">
        <v>212</v>
      </c>
      <c r="Y6" s="49" t="str">
        <f t="shared" si="4"/>
        <v>millones de m3/año</v>
      </c>
      <c r="Z6" s="49">
        <f>+U9</f>
        <v>0.075</v>
      </c>
    </row>
    <row r="7">
      <c r="A7" s="42">
        <v>2019.0</v>
      </c>
      <c r="B7" s="42" t="s">
        <v>170</v>
      </c>
      <c r="C7" s="42" t="s">
        <v>93</v>
      </c>
      <c r="D7" s="43" t="s">
        <v>213</v>
      </c>
      <c r="E7" s="43" t="s">
        <v>214</v>
      </c>
      <c r="F7" s="43" t="s">
        <v>215</v>
      </c>
      <c r="G7" s="43" t="s">
        <v>208</v>
      </c>
      <c r="H7" s="43" t="s">
        <v>216</v>
      </c>
      <c r="I7" s="39"/>
      <c r="J7" s="39"/>
      <c r="K7" s="43">
        <f>45.2*POWER(10,6)</f>
        <v>45200000</v>
      </c>
      <c r="P7" s="52" t="s">
        <v>64</v>
      </c>
      <c r="Q7" s="53" t="s">
        <v>193</v>
      </c>
      <c r="R7" s="53" t="s">
        <v>174</v>
      </c>
      <c r="S7" s="53">
        <v>720000.0</v>
      </c>
      <c r="T7" s="53" t="s">
        <v>195</v>
      </c>
      <c r="U7" s="54">
        <f t="shared" si="3"/>
        <v>0.72</v>
      </c>
      <c r="V7" s="55"/>
      <c r="W7" s="56">
        <v>5.0</v>
      </c>
      <c r="X7" s="49" t="s">
        <v>218</v>
      </c>
      <c r="Y7" s="49" t="str">
        <f t="shared" si="4"/>
        <v>millones de m3/año</v>
      </c>
      <c r="Z7" s="49">
        <f t="shared" ref="Z7:Z11" si="5">+U11</f>
        <v>110.376</v>
      </c>
    </row>
    <row r="8">
      <c r="A8" s="42">
        <v>2019.0</v>
      </c>
      <c r="B8" s="42" t="s">
        <v>170</v>
      </c>
      <c r="C8" s="42" t="s">
        <v>46</v>
      </c>
      <c r="D8" s="42" t="s">
        <v>219</v>
      </c>
      <c r="E8" s="42" t="s">
        <v>220</v>
      </c>
      <c r="F8" s="42" t="s">
        <v>221</v>
      </c>
      <c r="G8" s="42" t="s">
        <v>208</v>
      </c>
      <c r="H8" s="42" t="s">
        <v>222</v>
      </c>
      <c r="I8" s="39"/>
      <c r="J8" s="39"/>
      <c r="K8" s="42">
        <v>1.95E7</v>
      </c>
      <c r="P8" s="52" t="s">
        <v>64</v>
      </c>
      <c r="Q8" s="53" t="s">
        <v>224</v>
      </c>
      <c r="R8" s="53" t="s">
        <v>174</v>
      </c>
      <c r="S8" s="53">
        <v>54000.0</v>
      </c>
      <c r="T8" s="53" t="s">
        <v>195</v>
      </c>
      <c r="U8" s="54">
        <f t="shared" si="3"/>
        <v>0.054</v>
      </c>
      <c r="V8" s="55"/>
      <c r="W8" s="56">
        <v>6.0</v>
      </c>
      <c r="X8" s="49" t="s">
        <v>225</v>
      </c>
      <c r="Y8" s="49" t="s">
        <v>226</v>
      </c>
      <c r="Z8" s="49">
        <f t="shared" si="5"/>
        <v>0.0432</v>
      </c>
    </row>
    <row r="9">
      <c r="A9" s="42">
        <v>2019.0</v>
      </c>
      <c r="B9" s="42" t="s">
        <v>186</v>
      </c>
      <c r="C9" s="42" t="s">
        <v>69</v>
      </c>
      <c r="D9" s="42" t="s">
        <v>227</v>
      </c>
      <c r="E9" s="42" t="s">
        <v>172</v>
      </c>
      <c r="F9" s="42" t="s">
        <v>211</v>
      </c>
      <c r="G9" s="42" t="s">
        <v>174</v>
      </c>
      <c r="H9" s="42" t="s">
        <v>228</v>
      </c>
      <c r="I9" s="42">
        <v>80000.0</v>
      </c>
      <c r="J9" s="42">
        <v>25.0</v>
      </c>
      <c r="K9" s="42">
        <f t="shared" ref="K9:K13" si="6">+J9*I9*12</f>
        <v>24000000</v>
      </c>
      <c r="P9" s="52" t="s">
        <v>64</v>
      </c>
      <c r="Q9" s="53" t="s">
        <v>230</v>
      </c>
      <c r="R9" s="53" t="s">
        <v>174</v>
      </c>
      <c r="S9" s="53">
        <v>75000.0</v>
      </c>
      <c r="T9" s="53" t="s">
        <v>195</v>
      </c>
      <c r="U9" s="54">
        <f t="shared" si="3"/>
        <v>0.075</v>
      </c>
      <c r="V9" s="55"/>
      <c r="W9" s="48">
        <v>7.0</v>
      </c>
      <c r="X9" s="49" t="s">
        <v>231</v>
      </c>
      <c r="Y9" s="49" t="s">
        <v>226</v>
      </c>
      <c r="Z9" s="49">
        <f t="shared" si="5"/>
        <v>0.05400432</v>
      </c>
    </row>
    <row r="10">
      <c r="A10" s="42">
        <v>2019.0</v>
      </c>
      <c r="B10" s="42" t="s">
        <v>186</v>
      </c>
      <c r="C10" s="42" t="s">
        <v>69</v>
      </c>
      <c r="D10" s="42" t="s">
        <v>227</v>
      </c>
      <c r="E10" s="42" t="s">
        <v>172</v>
      </c>
      <c r="F10" s="42" t="s">
        <v>193</v>
      </c>
      <c r="G10" s="42" t="s">
        <v>174</v>
      </c>
      <c r="H10" s="42" t="s">
        <v>232</v>
      </c>
      <c r="I10" s="42">
        <v>2000.0</v>
      </c>
      <c r="J10" s="42">
        <v>30.0</v>
      </c>
      <c r="K10" s="42">
        <f t="shared" si="6"/>
        <v>720000</v>
      </c>
      <c r="P10" s="52" t="s">
        <v>64</v>
      </c>
      <c r="Q10" s="53" t="s">
        <v>234</v>
      </c>
      <c r="R10" s="53" t="s">
        <v>174</v>
      </c>
      <c r="S10" s="53">
        <v>837000.0</v>
      </c>
      <c r="T10" s="53" t="s">
        <v>195</v>
      </c>
      <c r="U10" s="54">
        <f t="shared" si="3"/>
        <v>0.837</v>
      </c>
      <c r="V10" s="55"/>
      <c r="W10" s="56">
        <v>8.0</v>
      </c>
      <c r="X10" s="49" t="s">
        <v>150</v>
      </c>
      <c r="Y10" s="49" t="s">
        <v>226</v>
      </c>
      <c r="Z10" s="49">
        <f t="shared" si="5"/>
        <v>3.7958436</v>
      </c>
    </row>
    <row r="11">
      <c r="A11" s="42">
        <v>2019.0</v>
      </c>
      <c r="B11" s="42" t="s">
        <v>186</v>
      </c>
      <c r="C11" s="42" t="s">
        <v>69</v>
      </c>
      <c r="D11" s="42" t="s">
        <v>227</v>
      </c>
      <c r="E11" s="42" t="s">
        <v>172</v>
      </c>
      <c r="F11" s="42" t="s">
        <v>224</v>
      </c>
      <c r="G11" s="42" t="s">
        <v>174</v>
      </c>
      <c r="H11" s="42" t="s">
        <v>235</v>
      </c>
      <c r="I11" s="42">
        <v>100.0</v>
      </c>
      <c r="J11" s="42">
        <v>45.0</v>
      </c>
      <c r="K11" s="42">
        <f t="shared" si="6"/>
        <v>54000</v>
      </c>
      <c r="P11" s="52" t="s">
        <v>237</v>
      </c>
      <c r="Q11" s="53" t="s">
        <v>187</v>
      </c>
      <c r="R11" s="53" t="s">
        <v>174</v>
      </c>
      <c r="S11" s="53">
        <v>1.10376E8</v>
      </c>
      <c r="T11" s="53" t="s">
        <v>195</v>
      </c>
      <c r="U11" s="54">
        <f t="shared" si="3"/>
        <v>110.376</v>
      </c>
      <c r="V11" s="55"/>
      <c r="W11" s="56">
        <v>9.0</v>
      </c>
      <c r="X11" s="49" t="s">
        <v>238</v>
      </c>
      <c r="Y11" s="49" t="s">
        <v>226</v>
      </c>
      <c r="Z11" s="49">
        <f t="shared" si="5"/>
        <v>1.35369</v>
      </c>
    </row>
    <row r="12">
      <c r="A12" s="42">
        <v>2019.0</v>
      </c>
      <c r="B12" s="42" t="s">
        <v>186</v>
      </c>
      <c r="C12" s="42" t="s">
        <v>69</v>
      </c>
      <c r="D12" s="42" t="s">
        <v>227</v>
      </c>
      <c r="E12" s="42" t="s">
        <v>172</v>
      </c>
      <c r="F12" s="42" t="s">
        <v>230</v>
      </c>
      <c r="G12" s="42" t="s">
        <v>174</v>
      </c>
      <c r="H12" s="42" t="s">
        <v>239</v>
      </c>
      <c r="I12" s="42">
        <v>50.0</v>
      </c>
      <c r="J12" s="42">
        <v>125.0</v>
      </c>
      <c r="K12" s="42">
        <f t="shared" si="6"/>
        <v>75000</v>
      </c>
      <c r="P12" s="52" t="s">
        <v>241</v>
      </c>
      <c r="Q12" s="53" t="s">
        <v>242</v>
      </c>
      <c r="R12" s="53" t="s">
        <v>184</v>
      </c>
      <c r="S12" s="53">
        <v>12000.0</v>
      </c>
      <c r="T12" s="53" t="s">
        <v>226</v>
      </c>
      <c r="U12" s="54">
        <f>+S12*3600000/POWER(10,12)</f>
        <v>0.0432</v>
      </c>
      <c r="V12" s="55"/>
      <c r="W12" s="48">
        <v>10.0</v>
      </c>
      <c r="X12" s="49" t="s">
        <v>243</v>
      </c>
      <c r="Y12" s="49" t="s">
        <v>226</v>
      </c>
      <c r="Z12" s="49">
        <f>+U16+U17</f>
        <v>147.0782796</v>
      </c>
    </row>
    <row r="13">
      <c r="A13" s="42">
        <v>2019.0</v>
      </c>
      <c r="B13" s="42" t="s">
        <v>186</v>
      </c>
      <c r="C13" s="42" t="s">
        <v>69</v>
      </c>
      <c r="D13" s="42" t="s">
        <v>244</v>
      </c>
      <c r="E13" s="42" t="s">
        <v>172</v>
      </c>
      <c r="F13" s="42" t="s">
        <v>234</v>
      </c>
      <c r="G13" s="42" t="s">
        <v>174</v>
      </c>
      <c r="H13" s="42" t="s">
        <v>245</v>
      </c>
      <c r="I13" s="42">
        <v>4500.0</v>
      </c>
      <c r="J13" s="42">
        <v>15.5</v>
      </c>
      <c r="K13" s="42">
        <f t="shared" si="6"/>
        <v>837000</v>
      </c>
      <c r="P13" s="52" t="s">
        <v>241</v>
      </c>
      <c r="Q13" s="53" t="s">
        <v>247</v>
      </c>
      <c r="R13" s="53" t="s">
        <v>208</v>
      </c>
      <c r="S13" s="53">
        <v>360.0</v>
      </c>
      <c r="T13" s="53" t="s">
        <v>226</v>
      </c>
      <c r="U13" s="54">
        <f>+S13*3600000*41.67/POWER(10,12)</f>
        <v>0.05400432</v>
      </c>
      <c r="V13" s="55"/>
      <c r="W13" s="56">
        <v>11.0</v>
      </c>
      <c r="X13" s="49" t="s">
        <v>248</v>
      </c>
      <c r="Y13" s="49" t="s">
        <v>226</v>
      </c>
      <c r="Z13" s="49">
        <f>+U18+U20+U19</f>
        <v>1069.910661</v>
      </c>
    </row>
    <row r="14">
      <c r="A14" s="42">
        <v>2019.0</v>
      </c>
      <c r="B14" s="42" t="s">
        <v>186</v>
      </c>
      <c r="C14" s="42" t="s">
        <v>69</v>
      </c>
      <c r="D14" s="42" t="s">
        <v>249</v>
      </c>
      <c r="E14" s="42" t="s">
        <v>250</v>
      </c>
      <c r="F14" s="42" t="s">
        <v>194</v>
      </c>
      <c r="G14" s="42" t="s">
        <v>174</v>
      </c>
      <c r="H14" s="42" t="s">
        <v>251</v>
      </c>
      <c r="I14" s="42">
        <f>20*100</f>
        <v>2000</v>
      </c>
      <c r="J14" s="42">
        <v>4500.0</v>
      </c>
      <c r="K14" s="42">
        <f t="shared" ref="K14:K15" si="8">+J14*I14</f>
        <v>9000000</v>
      </c>
      <c r="P14" s="52" t="s">
        <v>253</v>
      </c>
      <c r="Q14" s="53" t="s">
        <v>254</v>
      </c>
      <c r="R14" s="53" t="s">
        <v>184</v>
      </c>
      <c r="S14" s="57">
        <v>1054401.0</v>
      </c>
      <c r="T14" s="53" t="s">
        <v>226</v>
      </c>
      <c r="U14" s="54">
        <f t="shared" ref="U14:U15" si="9">+S14*3600000/POWER(10,12)</f>
        <v>3.7958436</v>
      </c>
      <c r="V14" s="55"/>
      <c r="W14" s="56">
        <v>12.0</v>
      </c>
      <c r="X14" s="49" t="s">
        <v>255</v>
      </c>
      <c r="Y14" s="49" t="str">
        <f t="shared" ref="Y14:Z14" si="7">+T21</f>
        <v>TJ</v>
      </c>
      <c r="Z14" s="49">
        <f t="shared" si="7"/>
        <v>33.2528976</v>
      </c>
    </row>
    <row r="15">
      <c r="A15" s="42">
        <v>2019.0</v>
      </c>
      <c r="B15" s="42" t="s">
        <v>186</v>
      </c>
      <c r="C15" s="42" t="s">
        <v>69</v>
      </c>
      <c r="D15" s="42" t="s">
        <v>256</v>
      </c>
      <c r="E15" s="42" t="s">
        <v>250</v>
      </c>
      <c r="F15" s="42" t="s">
        <v>203</v>
      </c>
      <c r="G15" s="42" t="s">
        <v>174</v>
      </c>
      <c r="H15" s="42" t="s">
        <v>257</v>
      </c>
      <c r="I15" s="42">
        <f>700*100</f>
        <v>70000</v>
      </c>
      <c r="J15" s="42">
        <v>6000.0</v>
      </c>
      <c r="K15" s="42">
        <f t="shared" si="8"/>
        <v>420000000</v>
      </c>
      <c r="P15" s="52" t="s">
        <v>253</v>
      </c>
      <c r="Q15" s="53" t="s">
        <v>258</v>
      </c>
      <c r="R15" s="53" t="s">
        <v>184</v>
      </c>
      <c r="S15" s="57">
        <v>376025.0</v>
      </c>
      <c r="T15" s="53" t="s">
        <v>226</v>
      </c>
      <c r="U15" s="54">
        <f t="shared" si="9"/>
        <v>1.35369</v>
      </c>
      <c r="V15" s="55"/>
      <c r="W15" s="48">
        <v>13.0</v>
      </c>
      <c r="X15" s="49" t="s">
        <v>259</v>
      </c>
      <c r="Y15" s="49" t="s">
        <v>226</v>
      </c>
      <c r="Z15" s="49">
        <f t="shared" ref="Z15:Z16" si="10">+U52</f>
        <v>379.53036</v>
      </c>
    </row>
    <row r="16">
      <c r="A16" s="42">
        <v>2019.0</v>
      </c>
      <c r="B16" s="42" t="s">
        <v>186</v>
      </c>
      <c r="C16" s="42" t="s">
        <v>86</v>
      </c>
      <c r="D16" s="42" t="s">
        <v>171</v>
      </c>
      <c r="E16" s="42" t="s">
        <v>182</v>
      </c>
      <c r="F16" s="42" t="s">
        <v>187</v>
      </c>
      <c r="G16" s="42" t="s">
        <v>174</v>
      </c>
      <c r="H16" s="42" t="s">
        <v>260</v>
      </c>
      <c r="I16" s="42"/>
      <c r="J16" s="42">
        <v>3.5</v>
      </c>
      <c r="K16" s="42">
        <f>+J16*3600*24*365</f>
        <v>110376000</v>
      </c>
      <c r="P16" s="52" t="s">
        <v>253</v>
      </c>
      <c r="Q16" s="53" t="s">
        <v>262</v>
      </c>
      <c r="R16" s="53" t="s">
        <v>208</v>
      </c>
      <c r="S16" s="53">
        <v>1366870.0</v>
      </c>
      <c r="T16" s="53" t="s">
        <v>226</v>
      </c>
      <c r="U16" s="54">
        <f t="shared" ref="U16:U17" si="11">91600*1055.056*S16/POWER(10,12)</f>
        <v>132.0985946</v>
      </c>
      <c r="V16" s="55"/>
      <c r="W16" s="56">
        <v>14.0</v>
      </c>
      <c r="X16" s="49" t="s">
        <v>263</v>
      </c>
      <c r="Y16" s="49" t="s">
        <v>226</v>
      </c>
      <c r="Z16" s="49">
        <f t="shared" si="10"/>
        <v>6780.5424</v>
      </c>
    </row>
    <row r="17">
      <c r="A17" s="42">
        <v>2019.0</v>
      </c>
      <c r="B17" s="42" t="s">
        <v>186</v>
      </c>
      <c r="C17" s="42" t="s">
        <v>144</v>
      </c>
      <c r="D17" s="42" t="s">
        <v>227</v>
      </c>
      <c r="E17" s="42" t="s">
        <v>264</v>
      </c>
      <c r="F17" s="42" t="s">
        <v>254</v>
      </c>
      <c r="G17" s="42" t="s">
        <v>184</v>
      </c>
      <c r="H17" s="43" t="s">
        <v>265</v>
      </c>
      <c r="I17" s="42"/>
      <c r="J17" s="42"/>
      <c r="K17" s="43">
        <v>1054401.0</v>
      </c>
      <c r="P17" s="52" t="s">
        <v>253</v>
      </c>
      <c r="Q17" s="53" t="s">
        <v>267</v>
      </c>
      <c r="R17" s="53" t="s">
        <v>208</v>
      </c>
      <c r="S17" s="53">
        <v>155000.0</v>
      </c>
      <c r="T17" s="53" t="s">
        <v>226</v>
      </c>
      <c r="U17" s="54">
        <f t="shared" si="11"/>
        <v>14.97968509</v>
      </c>
      <c r="V17" s="55"/>
      <c r="W17" s="55"/>
      <c r="X17" s="58"/>
    </row>
    <row r="18">
      <c r="A18" s="42">
        <v>2019.0</v>
      </c>
      <c r="B18" s="42" t="s">
        <v>186</v>
      </c>
      <c r="C18" s="42" t="s">
        <v>144</v>
      </c>
      <c r="D18" s="42" t="s">
        <v>227</v>
      </c>
      <c r="E18" s="42" t="s">
        <v>264</v>
      </c>
      <c r="F18" s="42" t="s">
        <v>258</v>
      </c>
      <c r="G18" s="42" t="s">
        <v>184</v>
      </c>
      <c r="H18" s="43" t="s">
        <v>268</v>
      </c>
      <c r="I18" s="42"/>
      <c r="J18" s="42"/>
      <c r="K18" s="43">
        <v>376025.0</v>
      </c>
      <c r="P18" s="52" t="s">
        <v>253</v>
      </c>
      <c r="Q18" s="53" t="s">
        <v>270</v>
      </c>
      <c r="R18" s="53" t="s">
        <v>200</v>
      </c>
      <c r="S18" s="53">
        <v>38325.0</v>
      </c>
      <c r="T18" s="53" t="s">
        <v>226</v>
      </c>
      <c r="U18" s="54">
        <f>2.205*3500*1055.056*S18/(POWER(10,6)*1000)</f>
        <v>312.0572761</v>
      </c>
      <c r="V18" s="55"/>
      <c r="W18" s="55"/>
      <c r="X18" s="55"/>
      <c r="Y18" s="55"/>
    </row>
    <row r="19">
      <c r="A19" s="42">
        <v>2019.0</v>
      </c>
      <c r="B19" s="42" t="s">
        <v>186</v>
      </c>
      <c r="C19" s="42" t="s">
        <v>271</v>
      </c>
      <c r="D19" s="42" t="s">
        <v>227</v>
      </c>
      <c r="E19" s="42" t="s">
        <v>264</v>
      </c>
      <c r="F19" s="42" t="s">
        <v>242</v>
      </c>
      <c r="G19" s="42" t="s">
        <v>184</v>
      </c>
      <c r="H19" s="42" t="s">
        <v>272</v>
      </c>
      <c r="I19" s="42"/>
      <c r="J19" s="42">
        <v>1000.0</v>
      </c>
      <c r="K19" s="42">
        <f t="shared" ref="K19:K20" si="12">+J19*12</f>
        <v>12000</v>
      </c>
      <c r="P19" s="52" t="s">
        <v>253</v>
      </c>
      <c r="Q19" s="53" t="s">
        <v>274</v>
      </c>
      <c r="R19" s="53" t="s">
        <v>200</v>
      </c>
      <c r="S19" s="53">
        <v>19162.5</v>
      </c>
      <c r="T19" s="53" t="s">
        <v>226</v>
      </c>
      <c r="U19" s="54">
        <f>2.205*12000*1055.056*S19/(POWER(10,6)*1000)</f>
        <v>534.9553305</v>
      </c>
      <c r="V19" s="55"/>
      <c r="W19" s="55"/>
      <c r="Y19" s="55"/>
    </row>
    <row r="20">
      <c r="A20" s="42">
        <v>2020.0</v>
      </c>
      <c r="B20" s="42" t="s">
        <v>186</v>
      </c>
      <c r="C20" s="42" t="s">
        <v>271</v>
      </c>
      <c r="D20" s="42" t="s">
        <v>219</v>
      </c>
      <c r="E20" s="42" t="s">
        <v>220</v>
      </c>
      <c r="F20" s="42" t="s">
        <v>247</v>
      </c>
      <c r="G20" s="42" t="s">
        <v>208</v>
      </c>
      <c r="H20" s="42" t="s">
        <v>275</v>
      </c>
      <c r="I20" s="42"/>
      <c r="J20" s="42">
        <v>30.0</v>
      </c>
      <c r="K20" s="42">
        <f t="shared" si="12"/>
        <v>360</v>
      </c>
      <c r="P20" s="52" t="s">
        <v>253</v>
      </c>
      <c r="Q20" s="53" t="s">
        <v>277</v>
      </c>
      <c r="R20" s="53" t="s">
        <v>200</v>
      </c>
      <c r="S20" s="53">
        <v>27375.0</v>
      </c>
      <c r="T20" s="53" t="s">
        <v>226</v>
      </c>
      <c r="U20" s="54">
        <f>2.205*3500*1055.056*S20/(POWER(10,6)*1000)</f>
        <v>222.8980544</v>
      </c>
      <c r="V20" s="55"/>
      <c r="W20" s="55"/>
      <c r="X20" s="55"/>
      <c r="Y20" s="55"/>
    </row>
    <row r="21" ht="15.75" customHeight="1">
      <c r="A21" s="42">
        <v>2019.0</v>
      </c>
      <c r="B21" s="42" t="s">
        <v>186</v>
      </c>
      <c r="C21" s="42" t="s">
        <v>144</v>
      </c>
      <c r="D21" s="42" t="s">
        <v>219</v>
      </c>
      <c r="E21" s="42" t="s">
        <v>220</v>
      </c>
      <c r="F21" s="42" t="s">
        <v>273</v>
      </c>
      <c r="G21" s="42" t="s">
        <v>208</v>
      </c>
      <c r="H21" s="43" t="s">
        <v>278</v>
      </c>
      <c r="I21" s="42"/>
      <c r="J21" s="42"/>
      <c r="K21" s="43">
        <f>19500000*0.45*0.02</f>
        <v>175500</v>
      </c>
      <c r="P21" s="52" t="s">
        <v>253</v>
      </c>
      <c r="Q21" s="53" t="s">
        <v>273</v>
      </c>
      <c r="R21" s="53" t="s">
        <v>208</v>
      </c>
      <c r="S21" s="57">
        <v>175500.0</v>
      </c>
      <c r="T21" s="53" t="s">
        <v>226</v>
      </c>
      <c r="U21" s="59">
        <f>52.632*3600000*S21/POWER(10,12)</f>
        <v>33.2528976</v>
      </c>
      <c r="V21" s="55"/>
      <c r="W21" s="55"/>
      <c r="X21" s="55"/>
      <c r="Y21" s="55"/>
      <c r="Z21" s="41" t="s">
        <v>280</v>
      </c>
    </row>
    <row r="22" ht="15.75" customHeight="1">
      <c r="A22" s="42">
        <v>2019.0</v>
      </c>
      <c r="B22" s="42" t="s">
        <v>186</v>
      </c>
      <c r="C22" s="42" t="s">
        <v>144</v>
      </c>
      <c r="D22" s="42" t="s">
        <v>219</v>
      </c>
      <c r="E22" s="42" t="s">
        <v>220</v>
      </c>
      <c r="F22" s="42" t="s">
        <v>262</v>
      </c>
      <c r="G22" s="42" t="s">
        <v>208</v>
      </c>
      <c r="H22" s="42" t="s">
        <v>281</v>
      </c>
      <c r="I22" s="42"/>
      <c r="J22" s="42"/>
      <c r="K22" s="42">
        <v>1366870.0</v>
      </c>
      <c r="P22" s="52" t="s">
        <v>93</v>
      </c>
      <c r="Q22" s="53" t="s">
        <v>236</v>
      </c>
      <c r="R22" s="53" t="s">
        <v>200</v>
      </c>
      <c r="S22" s="53">
        <v>25550.0</v>
      </c>
      <c r="T22" s="53" t="s">
        <v>283</v>
      </c>
      <c r="U22" s="54">
        <f t="shared" ref="U22:U45" si="13">+S22/1000</f>
        <v>25.55</v>
      </c>
      <c r="V22" s="55"/>
      <c r="W22" s="55"/>
      <c r="X22" s="55"/>
      <c r="Y22" s="55"/>
      <c r="Z22" s="60">
        <f>+U22+U23+U24+U25</f>
        <v>83.0375</v>
      </c>
      <c r="AB22" s="39" t="s">
        <v>284</v>
      </c>
      <c r="AC22" s="39" t="s">
        <v>285</v>
      </c>
    </row>
    <row r="23" ht="15.75" customHeight="1">
      <c r="A23" s="42">
        <v>2019.0</v>
      </c>
      <c r="B23" s="42" t="s">
        <v>186</v>
      </c>
      <c r="C23" s="42" t="s">
        <v>144</v>
      </c>
      <c r="D23" s="42" t="s">
        <v>219</v>
      </c>
      <c r="E23" s="42" t="s">
        <v>220</v>
      </c>
      <c r="F23" s="42" t="s">
        <v>267</v>
      </c>
      <c r="G23" s="42" t="s">
        <v>208</v>
      </c>
      <c r="H23" s="42" t="s">
        <v>286</v>
      </c>
      <c r="I23" s="42"/>
      <c r="J23" s="42"/>
      <c r="K23" s="42">
        <v>155000.0</v>
      </c>
      <c r="P23" s="52" t="s">
        <v>93</v>
      </c>
      <c r="Q23" s="53" t="s">
        <v>269</v>
      </c>
      <c r="R23" s="53" t="s">
        <v>200</v>
      </c>
      <c r="S23" s="53">
        <v>12775.0</v>
      </c>
      <c r="T23" s="53" t="s">
        <v>283</v>
      </c>
      <c r="U23" s="54">
        <f t="shared" si="13"/>
        <v>12.775</v>
      </c>
      <c r="V23" s="55"/>
      <c r="W23" s="55"/>
      <c r="X23" s="55"/>
      <c r="Y23" s="55"/>
      <c r="AA23" s="39" t="s">
        <v>36</v>
      </c>
      <c r="AB23" s="60">
        <f>+Z29+Z40</f>
        <v>103.02125</v>
      </c>
      <c r="AC23" s="60">
        <f>+Z32+Z43</f>
        <v>64.14875</v>
      </c>
      <c r="AD23" s="60">
        <f t="shared" ref="AD23:AD24" si="14">+AC23+AB23</f>
        <v>167.17</v>
      </c>
    </row>
    <row r="24" ht="15.75" customHeight="1">
      <c r="A24" s="42">
        <v>2019.0</v>
      </c>
      <c r="B24" s="42" t="s">
        <v>186</v>
      </c>
      <c r="C24" s="42" t="s">
        <v>144</v>
      </c>
      <c r="D24" s="42" t="s">
        <v>288</v>
      </c>
      <c r="E24" s="42" t="s">
        <v>198</v>
      </c>
      <c r="F24" s="42" t="s">
        <v>270</v>
      </c>
      <c r="G24" s="42" t="s">
        <v>200</v>
      </c>
      <c r="H24" s="43" t="s">
        <v>289</v>
      </c>
      <c r="I24" s="42">
        <v>350000.0</v>
      </c>
      <c r="J24" s="42">
        <v>1.0</v>
      </c>
      <c r="K24" s="43">
        <f t="shared" ref="K24:K25" si="15">+J24*I24*365*0.3/1000</f>
        <v>38325</v>
      </c>
      <c r="P24" s="52" t="s">
        <v>93</v>
      </c>
      <c r="Q24" s="53" t="s">
        <v>282</v>
      </c>
      <c r="R24" s="53" t="s">
        <v>200</v>
      </c>
      <c r="S24" s="53">
        <v>19162.5</v>
      </c>
      <c r="T24" s="53" t="s">
        <v>283</v>
      </c>
      <c r="U24" s="54">
        <f t="shared" si="13"/>
        <v>19.1625</v>
      </c>
      <c r="V24" s="55"/>
      <c r="W24" s="55"/>
      <c r="X24" s="55"/>
      <c r="Y24" s="55"/>
      <c r="AA24" s="39" t="s">
        <v>291</v>
      </c>
      <c r="AB24" s="60">
        <f>+Z22+Z35</f>
        <v>84.68</v>
      </c>
      <c r="AC24" s="60">
        <f>+Z26+Z37</f>
        <v>180.94875</v>
      </c>
      <c r="AD24" s="60">
        <f t="shared" si="14"/>
        <v>265.62875</v>
      </c>
    </row>
    <row r="25" ht="15.75" customHeight="1">
      <c r="A25" s="42">
        <v>2019.0</v>
      </c>
      <c r="B25" s="42" t="s">
        <v>186</v>
      </c>
      <c r="C25" s="42" t="s">
        <v>144</v>
      </c>
      <c r="D25" s="42" t="s">
        <v>288</v>
      </c>
      <c r="E25" s="42" t="s">
        <v>198</v>
      </c>
      <c r="F25" s="42" t="s">
        <v>274</v>
      </c>
      <c r="G25" s="42" t="s">
        <v>200</v>
      </c>
      <c r="H25" s="43" t="s">
        <v>292</v>
      </c>
      <c r="I25" s="42">
        <v>350000.0</v>
      </c>
      <c r="J25" s="42">
        <v>0.5</v>
      </c>
      <c r="K25" s="43">
        <f t="shared" si="15"/>
        <v>19162.5</v>
      </c>
      <c r="P25" s="52" t="s">
        <v>93</v>
      </c>
      <c r="Q25" s="53" t="s">
        <v>294</v>
      </c>
      <c r="R25" s="53" t="s">
        <v>200</v>
      </c>
      <c r="S25" s="53">
        <v>25550.0</v>
      </c>
      <c r="T25" s="53" t="s">
        <v>283</v>
      </c>
      <c r="U25" s="54">
        <f t="shared" si="13"/>
        <v>25.55</v>
      </c>
      <c r="V25" s="55"/>
      <c r="W25" s="55"/>
      <c r="X25" s="55"/>
      <c r="Y25" s="55"/>
    </row>
    <row r="26" ht="15.75" customHeight="1">
      <c r="A26" s="42">
        <v>2019.0</v>
      </c>
      <c r="B26" s="42" t="s">
        <v>186</v>
      </c>
      <c r="C26" s="42" t="s">
        <v>144</v>
      </c>
      <c r="D26" s="42" t="s">
        <v>295</v>
      </c>
      <c r="E26" s="42" t="s">
        <v>198</v>
      </c>
      <c r="F26" s="42" t="s">
        <v>277</v>
      </c>
      <c r="G26" s="42" t="s">
        <v>200</v>
      </c>
      <c r="H26" s="42" t="s">
        <v>296</v>
      </c>
      <c r="I26" s="42">
        <v>25000.0</v>
      </c>
      <c r="J26" s="42">
        <v>3.0</v>
      </c>
      <c r="K26" s="42">
        <f t="shared" ref="K26:K50" si="16">+J26*I26*365/1000</f>
        <v>27375</v>
      </c>
      <c r="P26" s="52" t="s">
        <v>93</v>
      </c>
      <c r="Q26" s="53" t="s">
        <v>210</v>
      </c>
      <c r="R26" s="53" t="s">
        <v>200</v>
      </c>
      <c r="S26" s="53">
        <v>8942.500000000002</v>
      </c>
      <c r="T26" s="53" t="s">
        <v>283</v>
      </c>
      <c r="U26" s="54">
        <f t="shared" si="13"/>
        <v>8.9425</v>
      </c>
      <c r="V26" s="55"/>
      <c r="W26" s="55"/>
      <c r="X26" s="55"/>
      <c r="Y26" s="55"/>
      <c r="Z26" s="60">
        <f>+U26+U27+U28</f>
        <v>171.185</v>
      </c>
    </row>
    <row r="27" ht="15.75" customHeight="1">
      <c r="A27" s="42">
        <v>2019.0</v>
      </c>
      <c r="B27" s="42" t="s">
        <v>186</v>
      </c>
      <c r="C27" s="42" t="s">
        <v>144</v>
      </c>
      <c r="D27" s="42" t="s">
        <v>298</v>
      </c>
      <c r="E27" s="42" t="s">
        <v>299</v>
      </c>
      <c r="F27" s="42" t="s">
        <v>236</v>
      </c>
      <c r="G27" s="42" t="s">
        <v>200</v>
      </c>
      <c r="H27" s="42" t="s">
        <v>300</v>
      </c>
      <c r="I27" s="42">
        <v>350000.0</v>
      </c>
      <c r="J27" s="42">
        <f>200/1000</f>
        <v>0.2</v>
      </c>
      <c r="K27" s="42">
        <f t="shared" si="16"/>
        <v>25550</v>
      </c>
      <c r="P27" s="52" t="s">
        <v>93</v>
      </c>
      <c r="Q27" s="53" t="s">
        <v>223</v>
      </c>
      <c r="R27" s="53" t="s">
        <v>200</v>
      </c>
      <c r="S27" s="53">
        <v>127750.0</v>
      </c>
      <c r="T27" s="53" t="s">
        <v>283</v>
      </c>
      <c r="U27" s="54">
        <f t="shared" si="13"/>
        <v>127.75</v>
      </c>
      <c r="V27" s="55"/>
      <c r="W27" s="55"/>
      <c r="X27" s="55"/>
      <c r="Y27" s="55"/>
    </row>
    <row r="28" ht="15.75" customHeight="1">
      <c r="A28" s="42">
        <v>2019.0</v>
      </c>
      <c r="B28" s="42" t="s">
        <v>186</v>
      </c>
      <c r="C28" s="42" t="s">
        <v>144</v>
      </c>
      <c r="D28" s="42" t="s">
        <v>298</v>
      </c>
      <c r="E28" s="42" t="s">
        <v>299</v>
      </c>
      <c r="F28" s="42" t="s">
        <v>269</v>
      </c>
      <c r="G28" s="42" t="s">
        <v>200</v>
      </c>
      <c r="H28" s="42" t="s">
        <v>302</v>
      </c>
      <c r="I28" s="42">
        <v>350000.0</v>
      </c>
      <c r="J28" s="42">
        <f>100/1000</f>
        <v>0.1</v>
      </c>
      <c r="K28" s="42">
        <f t="shared" si="16"/>
        <v>12775</v>
      </c>
      <c r="P28" s="52" t="s">
        <v>93</v>
      </c>
      <c r="Q28" s="53" t="s">
        <v>279</v>
      </c>
      <c r="R28" s="53" t="s">
        <v>200</v>
      </c>
      <c r="S28" s="53">
        <v>34492.5</v>
      </c>
      <c r="T28" s="53" t="s">
        <v>283</v>
      </c>
      <c r="U28" s="54">
        <f t="shared" si="13"/>
        <v>34.4925</v>
      </c>
      <c r="V28" s="55"/>
      <c r="W28" s="55"/>
      <c r="X28" s="55"/>
      <c r="Y28" s="55"/>
    </row>
    <row r="29" ht="15.75" customHeight="1">
      <c r="A29" s="42">
        <v>2019.0</v>
      </c>
      <c r="B29" s="42" t="s">
        <v>186</v>
      </c>
      <c r="C29" s="42" t="s">
        <v>144</v>
      </c>
      <c r="D29" s="42" t="s">
        <v>298</v>
      </c>
      <c r="E29" s="42" t="s">
        <v>299</v>
      </c>
      <c r="F29" s="42" t="s">
        <v>282</v>
      </c>
      <c r="G29" s="42" t="s">
        <v>200</v>
      </c>
      <c r="H29" s="42" t="s">
        <v>304</v>
      </c>
      <c r="I29" s="42">
        <v>350000.0</v>
      </c>
      <c r="J29" s="42">
        <f>150/1000</f>
        <v>0.15</v>
      </c>
      <c r="K29" s="42">
        <f t="shared" si="16"/>
        <v>19162.5</v>
      </c>
      <c r="P29" s="52" t="s">
        <v>93</v>
      </c>
      <c r="Q29" s="53" t="s">
        <v>240</v>
      </c>
      <c r="R29" s="53" t="s">
        <v>200</v>
      </c>
      <c r="S29" s="53">
        <v>38325.0</v>
      </c>
      <c r="T29" s="53" t="s">
        <v>283</v>
      </c>
      <c r="U29" s="54">
        <f t="shared" si="13"/>
        <v>38.325</v>
      </c>
      <c r="V29" s="55"/>
      <c r="W29" s="55"/>
      <c r="X29" s="55"/>
      <c r="Y29" s="55"/>
      <c r="Z29" s="60">
        <f>+U29+U30+U31</f>
        <v>95.8125</v>
      </c>
    </row>
    <row r="30" ht="15.75" customHeight="1">
      <c r="A30" s="42">
        <v>2019.0</v>
      </c>
      <c r="B30" s="42" t="s">
        <v>186</v>
      </c>
      <c r="C30" s="42" t="s">
        <v>144</v>
      </c>
      <c r="D30" s="42" t="s">
        <v>298</v>
      </c>
      <c r="E30" s="42" t="s">
        <v>299</v>
      </c>
      <c r="F30" s="42" t="s">
        <v>294</v>
      </c>
      <c r="G30" s="42" t="s">
        <v>200</v>
      </c>
      <c r="H30" s="42" t="s">
        <v>300</v>
      </c>
      <c r="I30" s="42">
        <v>350000.0</v>
      </c>
      <c r="J30" s="42">
        <f>200/1000</f>
        <v>0.2</v>
      </c>
      <c r="K30" s="42">
        <f t="shared" si="16"/>
        <v>25550</v>
      </c>
      <c r="P30" s="52" t="s">
        <v>93</v>
      </c>
      <c r="Q30" s="53" t="s">
        <v>266</v>
      </c>
      <c r="R30" s="53" t="s">
        <v>200</v>
      </c>
      <c r="S30" s="53">
        <v>25550.0</v>
      </c>
      <c r="T30" s="53" t="s">
        <v>283</v>
      </c>
      <c r="U30" s="54">
        <f t="shared" si="13"/>
        <v>25.55</v>
      </c>
      <c r="V30" s="55"/>
      <c r="W30" s="55"/>
      <c r="X30" s="55"/>
      <c r="Y30" s="55"/>
    </row>
    <row r="31" ht="15.75" customHeight="1">
      <c r="A31" s="42">
        <v>2019.0</v>
      </c>
      <c r="B31" s="42" t="s">
        <v>186</v>
      </c>
      <c r="C31" s="42" t="s">
        <v>144</v>
      </c>
      <c r="D31" s="42" t="s">
        <v>298</v>
      </c>
      <c r="E31" s="42" t="s">
        <v>306</v>
      </c>
      <c r="F31" s="42" t="s">
        <v>210</v>
      </c>
      <c r="G31" s="42" t="s">
        <v>200</v>
      </c>
      <c r="H31" s="42" t="s">
        <v>307</v>
      </c>
      <c r="I31" s="42">
        <v>350000.0</v>
      </c>
      <c r="J31" s="42">
        <f>70/1000</f>
        <v>0.07</v>
      </c>
      <c r="K31" s="42">
        <f t="shared" si="16"/>
        <v>8942.5</v>
      </c>
      <c r="P31" s="52" t="s">
        <v>93</v>
      </c>
      <c r="Q31" s="53" t="s">
        <v>305</v>
      </c>
      <c r="R31" s="53" t="s">
        <v>200</v>
      </c>
      <c r="S31" s="53">
        <v>31937.5</v>
      </c>
      <c r="T31" s="53" t="s">
        <v>283</v>
      </c>
      <c r="U31" s="54">
        <f t="shared" si="13"/>
        <v>31.9375</v>
      </c>
      <c r="V31" s="55"/>
      <c r="W31" s="55"/>
      <c r="X31" s="55"/>
      <c r="Y31" s="55"/>
    </row>
    <row r="32" ht="15.75" customHeight="1">
      <c r="A32" s="42">
        <v>2019.0</v>
      </c>
      <c r="B32" s="42" t="s">
        <v>186</v>
      </c>
      <c r="C32" s="42" t="s">
        <v>144</v>
      </c>
      <c r="D32" s="42" t="s">
        <v>298</v>
      </c>
      <c r="E32" s="42" t="s">
        <v>306</v>
      </c>
      <c r="F32" s="42" t="s">
        <v>223</v>
      </c>
      <c r="G32" s="42" t="s">
        <v>200</v>
      </c>
      <c r="H32" s="42" t="s">
        <v>308</v>
      </c>
      <c r="I32" s="42">
        <v>350000.0</v>
      </c>
      <c r="J32" s="42">
        <f>1000/1000</f>
        <v>1</v>
      </c>
      <c r="K32" s="42">
        <f t="shared" si="16"/>
        <v>127750</v>
      </c>
      <c r="P32" s="52" t="s">
        <v>93</v>
      </c>
      <c r="Q32" s="53" t="s">
        <v>252</v>
      </c>
      <c r="R32" s="53" t="s">
        <v>200</v>
      </c>
      <c r="S32" s="53">
        <v>21717.500000000004</v>
      </c>
      <c r="T32" s="53" t="s">
        <v>283</v>
      </c>
      <c r="U32" s="54">
        <f t="shared" si="13"/>
        <v>21.7175</v>
      </c>
      <c r="V32" s="55"/>
      <c r="W32" s="55"/>
      <c r="X32" s="55"/>
      <c r="Y32" s="55"/>
      <c r="Z32" s="60">
        <f>+U32+U33+U34</f>
        <v>60.0425</v>
      </c>
    </row>
    <row r="33" ht="15.75" customHeight="1">
      <c r="A33" s="42">
        <v>2019.0</v>
      </c>
      <c r="B33" s="42" t="s">
        <v>186</v>
      </c>
      <c r="C33" s="42" t="s">
        <v>144</v>
      </c>
      <c r="D33" s="42" t="s">
        <v>298</v>
      </c>
      <c r="E33" s="42" t="s">
        <v>306</v>
      </c>
      <c r="F33" s="42" t="s">
        <v>279</v>
      </c>
      <c r="G33" s="42" t="s">
        <v>200</v>
      </c>
      <c r="H33" s="42" t="s">
        <v>309</v>
      </c>
      <c r="I33" s="42">
        <v>350000.0</v>
      </c>
      <c r="J33" s="42">
        <f>270/1000</f>
        <v>0.27</v>
      </c>
      <c r="K33" s="42">
        <f t="shared" si="16"/>
        <v>34492.5</v>
      </c>
      <c r="P33" s="52" t="s">
        <v>93</v>
      </c>
      <c r="Q33" s="53" t="s">
        <v>290</v>
      </c>
      <c r="R33" s="53" t="s">
        <v>200</v>
      </c>
      <c r="S33" s="53">
        <v>25550.0</v>
      </c>
      <c r="T33" s="53" t="s">
        <v>283</v>
      </c>
      <c r="U33" s="54">
        <f t="shared" si="13"/>
        <v>25.55</v>
      </c>
      <c r="V33" s="55"/>
      <c r="W33" s="55"/>
      <c r="X33" s="55"/>
      <c r="Y33" s="55"/>
    </row>
    <row r="34" ht="15.75" customHeight="1">
      <c r="A34" s="42">
        <v>2019.0</v>
      </c>
      <c r="B34" s="42" t="s">
        <v>186</v>
      </c>
      <c r="C34" s="42" t="s">
        <v>144</v>
      </c>
      <c r="D34" s="42" t="s">
        <v>310</v>
      </c>
      <c r="E34" s="42" t="s">
        <v>299</v>
      </c>
      <c r="F34" s="42" t="s">
        <v>240</v>
      </c>
      <c r="G34" s="42" t="s">
        <v>200</v>
      </c>
      <c r="H34" s="42" t="s">
        <v>311</v>
      </c>
      <c r="I34" s="42">
        <v>350000.0</v>
      </c>
      <c r="J34" s="42">
        <f>300/1000</f>
        <v>0.3</v>
      </c>
      <c r="K34" s="42">
        <f t="shared" si="16"/>
        <v>38325</v>
      </c>
      <c r="P34" s="52" t="s">
        <v>93</v>
      </c>
      <c r="Q34" s="53" t="s">
        <v>297</v>
      </c>
      <c r="R34" s="53" t="s">
        <v>200</v>
      </c>
      <c r="S34" s="53">
        <v>12775.0</v>
      </c>
      <c r="T34" s="53" t="s">
        <v>283</v>
      </c>
      <c r="U34" s="54">
        <f t="shared" si="13"/>
        <v>12.775</v>
      </c>
      <c r="V34" s="55"/>
      <c r="W34" s="55"/>
      <c r="X34" s="55"/>
      <c r="Y34" s="55"/>
    </row>
    <row r="35" ht="15.75" customHeight="1">
      <c r="A35" s="42">
        <v>2019.0</v>
      </c>
      <c r="B35" s="42" t="s">
        <v>186</v>
      </c>
      <c r="C35" s="42" t="s">
        <v>144</v>
      </c>
      <c r="D35" s="42" t="s">
        <v>310</v>
      </c>
      <c r="E35" s="42" t="s">
        <v>299</v>
      </c>
      <c r="F35" s="42" t="s">
        <v>266</v>
      </c>
      <c r="G35" s="42" t="s">
        <v>200</v>
      </c>
      <c r="H35" s="42" t="s">
        <v>300</v>
      </c>
      <c r="I35" s="42">
        <v>350000.0</v>
      </c>
      <c r="J35" s="42">
        <f>200/1000</f>
        <v>0.2</v>
      </c>
      <c r="K35" s="42">
        <f t="shared" si="16"/>
        <v>25550</v>
      </c>
      <c r="P35" s="52" t="s">
        <v>93</v>
      </c>
      <c r="Q35" s="53" t="s">
        <v>229</v>
      </c>
      <c r="R35" s="53" t="s">
        <v>200</v>
      </c>
      <c r="S35" s="53">
        <v>1095.0</v>
      </c>
      <c r="T35" s="53" t="s">
        <v>283</v>
      </c>
      <c r="U35" s="54">
        <f t="shared" si="13"/>
        <v>1.095</v>
      </c>
      <c r="V35" s="55"/>
      <c r="W35" s="55"/>
      <c r="X35" s="55"/>
      <c r="Y35" s="55"/>
      <c r="Z35" s="60">
        <f>+U35+U36</f>
        <v>1.6425</v>
      </c>
    </row>
    <row r="36" ht="15.75" customHeight="1">
      <c r="A36" s="42">
        <v>2019.0</v>
      </c>
      <c r="B36" s="42" t="s">
        <v>186</v>
      </c>
      <c r="C36" s="42" t="s">
        <v>144</v>
      </c>
      <c r="D36" s="42" t="s">
        <v>310</v>
      </c>
      <c r="E36" s="42" t="s">
        <v>299</v>
      </c>
      <c r="F36" s="42" t="s">
        <v>305</v>
      </c>
      <c r="G36" s="42" t="s">
        <v>200</v>
      </c>
      <c r="H36" s="42" t="s">
        <v>312</v>
      </c>
      <c r="I36" s="42">
        <v>350000.0</v>
      </c>
      <c r="J36" s="42">
        <f>250/1000</f>
        <v>0.25</v>
      </c>
      <c r="K36" s="42">
        <f t="shared" si="16"/>
        <v>31937.5</v>
      </c>
      <c r="P36" s="52" t="s">
        <v>93</v>
      </c>
      <c r="Q36" s="53" t="s">
        <v>301</v>
      </c>
      <c r="R36" s="53" t="s">
        <v>200</v>
      </c>
      <c r="S36" s="53">
        <v>547.5</v>
      </c>
      <c r="T36" s="53" t="s">
        <v>283</v>
      </c>
      <c r="U36" s="54">
        <f t="shared" si="13"/>
        <v>0.5475</v>
      </c>
      <c r="V36" s="55"/>
      <c r="W36" s="55"/>
      <c r="X36" s="55"/>
      <c r="Y36" s="55"/>
    </row>
    <row r="37" ht="15.75" customHeight="1">
      <c r="A37" s="42">
        <v>2019.0</v>
      </c>
      <c r="B37" s="42" t="s">
        <v>186</v>
      </c>
      <c r="C37" s="42" t="s">
        <v>144</v>
      </c>
      <c r="D37" s="42" t="s">
        <v>310</v>
      </c>
      <c r="E37" s="42" t="s">
        <v>306</v>
      </c>
      <c r="F37" s="42" t="s">
        <v>252</v>
      </c>
      <c r="G37" s="42" t="s">
        <v>200</v>
      </c>
      <c r="H37" s="42" t="s">
        <v>313</v>
      </c>
      <c r="I37" s="42">
        <v>350000.0</v>
      </c>
      <c r="J37" s="42">
        <f>170/1000</f>
        <v>0.17</v>
      </c>
      <c r="K37" s="42">
        <f t="shared" si="16"/>
        <v>21717.5</v>
      </c>
      <c r="P37" s="52" t="s">
        <v>93</v>
      </c>
      <c r="Q37" s="53" t="s">
        <v>202</v>
      </c>
      <c r="R37" s="53" t="s">
        <v>200</v>
      </c>
      <c r="S37" s="53">
        <v>456.25</v>
      </c>
      <c r="T37" s="53" t="s">
        <v>283</v>
      </c>
      <c r="U37" s="54">
        <f t="shared" si="13"/>
        <v>0.45625</v>
      </c>
      <c r="V37" s="55"/>
      <c r="W37" s="55"/>
      <c r="X37" s="55"/>
      <c r="Y37" s="55"/>
      <c r="Z37" s="60">
        <f>+U37+U38+U39</f>
        <v>9.76375</v>
      </c>
    </row>
    <row r="38" ht="15.75" customHeight="1">
      <c r="A38" s="42">
        <v>2019.0</v>
      </c>
      <c r="B38" s="42" t="s">
        <v>186</v>
      </c>
      <c r="C38" s="42" t="s">
        <v>144</v>
      </c>
      <c r="D38" s="42" t="s">
        <v>310</v>
      </c>
      <c r="E38" s="42" t="s">
        <v>306</v>
      </c>
      <c r="F38" s="42" t="s">
        <v>290</v>
      </c>
      <c r="G38" s="42" t="s">
        <v>200</v>
      </c>
      <c r="H38" s="42" t="s">
        <v>300</v>
      </c>
      <c r="I38" s="42">
        <v>350000.0</v>
      </c>
      <c r="J38" s="42">
        <f>200/1000</f>
        <v>0.2</v>
      </c>
      <c r="K38" s="42">
        <f t="shared" si="16"/>
        <v>25550</v>
      </c>
      <c r="P38" s="52" t="s">
        <v>93</v>
      </c>
      <c r="Q38" s="53" t="s">
        <v>217</v>
      </c>
      <c r="R38" s="53" t="s">
        <v>200</v>
      </c>
      <c r="S38" s="53">
        <v>7300.0</v>
      </c>
      <c r="T38" s="53" t="s">
        <v>283</v>
      </c>
      <c r="U38" s="54">
        <f t="shared" si="13"/>
        <v>7.3</v>
      </c>
      <c r="V38" s="55"/>
      <c r="W38" s="55"/>
      <c r="X38" s="55"/>
      <c r="Y38" s="55"/>
    </row>
    <row r="39" ht="15.75" customHeight="1">
      <c r="A39" s="42">
        <v>2019.0</v>
      </c>
      <c r="B39" s="42" t="s">
        <v>186</v>
      </c>
      <c r="C39" s="42" t="s">
        <v>144</v>
      </c>
      <c r="D39" s="42" t="s">
        <v>310</v>
      </c>
      <c r="E39" s="42" t="s">
        <v>306</v>
      </c>
      <c r="F39" s="42" t="s">
        <v>297</v>
      </c>
      <c r="G39" s="42" t="s">
        <v>200</v>
      </c>
      <c r="H39" s="42" t="s">
        <v>302</v>
      </c>
      <c r="I39" s="42">
        <v>350000.0</v>
      </c>
      <c r="J39" s="42">
        <f>100/1000</f>
        <v>0.1</v>
      </c>
      <c r="K39" s="42">
        <f t="shared" si="16"/>
        <v>12775</v>
      </c>
      <c r="P39" s="52" t="s">
        <v>93</v>
      </c>
      <c r="Q39" s="53" t="s">
        <v>276</v>
      </c>
      <c r="R39" s="53" t="s">
        <v>200</v>
      </c>
      <c r="S39" s="53">
        <v>2007.5</v>
      </c>
      <c r="T39" s="53" t="s">
        <v>283</v>
      </c>
      <c r="U39" s="54">
        <f t="shared" si="13"/>
        <v>2.0075</v>
      </c>
      <c r="V39" s="55"/>
      <c r="W39" s="55"/>
      <c r="X39" s="55"/>
      <c r="Y39" s="55"/>
    </row>
    <row r="40" ht="15.75" customHeight="1">
      <c r="A40" s="42">
        <v>2019.0</v>
      </c>
      <c r="B40" s="42" t="s">
        <v>186</v>
      </c>
      <c r="C40" s="42" t="s">
        <v>144</v>
      </c>
      <c r="D40" s="42" t="s">
        <v>298</v>
      </c>
      <c r="E40" s="42" t="s">
        <v>299</v>
      </c>
      <c r="F40" s="42" t="s">
        <v>229</v>
      </c>
      <c r="G40" s="42" t="s">
        <v>200</v>
      </c>
      <c r="H40" s="42" t="s">
        <v>314</v>
      </c>
      <c r="I40" s="42">
        <v>25000.0</v>
      </c>
      <c r="J40" s="42">
        <f>120/1000</f>
        <v>0.12</v>
      </c>
      <c r="K40" s="42">
        <f t="shared" si="16"/>
        <v>1095</v>
      </c>
      <c r="P40" s="52" t="s">
        <v>93</v>
      </c>
      <c r="Q40" s="53" t="s">
        <v>233</v>
      </c>
      <c r="R40" s="53" t="s">
        <v>200</v>
      </c>
      <c r="S40" s="53">
        <v>821.25</v>
      </c>
      <c r="T40" s="53" t="s">
        <v>283</v>
      </c>
      <c r="U40" s="54">
        <f t="shared" si="13"/>
        <v>0.82125</v>
      </c>
      <c r="V40" s="55"/>
      <c r="W40" s="55"/>
      <c r="X40" s="55"/>
      <c r="Y40" s="55"/>
      <c r="Z40" s="60">
        <f>+U40+U41+U42</f>
        <v>7.20875</v>
      </c>
    </row>
    <row r="41" ht="15.75" customHeight="1">
      <c r="A41" s="42">
        <v>2019.0</v>
      </c>
      <c r="B41" s="42" t="s">
        <v>186</v>
      </c>
      <c r="C41" s="42" t="s">
        <v>144</v>
      </c>
      <c r="D41" s="42" t="s">
        <v>298</v>
      </c>
      <c r="E41" s="42" t="s">
        <v>299</v>
      </c>
      <c r="F41" s="42" t="s">
        <v>301</v>
      </c>
      <c r="G41" s="42" t="s">
        <v>200</v>
      </c>
      <c r="H41" s="42" t="s">
        <v>315</v>
      </c>
      <c r="I41" s="42">
        <v>25000.0</v>
      </c>
      <c r="J41" s="42">
        <f>60/1000</f>
        <v>0.06</v>
      </c>
      <c r="K41" s="42">
        <f t="shared" si="16"/>
        <v>547.5</v>
      </c>
      <c r="P41" s="52" t="s">
        <v>93</v>
      </c>
      <c r="Q41" s="53" t="s">
        <v>261</v>
      </c>
      <c r="R41" s="53" t="s">
        <v>200</v>
      </c>
      <c r="S41" s="53">
        <v>2737.5</v>
      </c>
      <c r="T41" s="53" t="s">
        <v>283</v>
      </c>
      <c r="U41" s="54">
        <f t="shared" si="13"/>
        <v>2.7375</v>
      </c>
      <c r="V41" s="55"/>
      <c r="W41" s="55"/>
      <c r="X41" s="55"/>
      <c r="Y41" s="55"/>
    </row>
    <row r="42" ht="15.75" customHeight="1">
      <c r="A42" s="42">
        <v>2019.0</v>
      </c>
      <c r="B42" s="42" t="s">
        <v>186</v>
      </c>
      <c r="C42" s="42" t="s">
        <v>144</v>
      </c>
      <c r="D42" s="42" t="s">
        <v>298</v>
      </c>
      <c r="E42" s="42" t="s">
        <v>306</v>
      </c>
      <c r="F42" s="42" t="s">
        <v>202</v>
      </c>
      <c r="G42" s="42" t="s">
        <v>200</v>
      </c>
      <c r="H42" s="42" t="s">
        <v>316</v>
      </c>
      <c r="I42" s="42">
        <v>25000.0</v>
      </c>
      <c r="J42" s="42">
        <f>50/1000</f>
        <v>0.05</v>
      </c>
      <c r="K42" s="42">
        <f t="shared" si="16"/>
        <v>456.25</v>
      </c>
      <c r="P42" s="52" t="s">
        <v>93</v>
      </c>
      <c r="Q42" s="53" t="s">
        <v>303</v>
      </c>
      <c r="R42" s="53" t="s">
        <v>200</v>
      </c>
      <c r="S42" s="53">
        <v>3650.0</v>
      </c>
      <c r="T42" s="53" t="s">
        <v>283</v>
      </c>
      <c r="U42" s="54">
        <f t="shared" si="13"/>
        <v>3.65</v>
      </c>
      <c r="V42" s="55"/>
      <c r="W42" s="55"/>
      <c r="X42" s="55"/>
      <c r="Y42" s="55"/>
    </row>
    <row r="43" ht="15.75" customHeight="1">
      <c r="A43" s="42">
        <v>2019.0</v>
      </c>
      <c r="B43" s="42" t="s">
        <v>186</v>
      </c>
      <c r="C43" s="42" t="s">
        <v>144</v>
      </c>
      <c r="D43" s="42" t="s">
        <v>298</v>
      </c>
      <c r="E43" s="42" t="s">
        <v>306</v>
      </c>
      <c r="F43" s="42" t="s">
        <v>217</v>
      </c>
      <c r="G43" s="42" t="s">
        <v>200</v>
      </c>
      <c r="H43" s="42" t="s">
        <v>317</v>
      </c>
      <c r="I43" s="42">
        <v>25000.0</v>
      </c>
      <c r="J43" s="42">
        <f>800/1000</f>
        <v>0.8</v>
      </c>
      <c r="K43" s="42">
        <f t="shared" si="16"/>
        <v>7300</v>
      </c>
      <c r="P43" s="52" t="s">
        <v>93</v>
      </c>
      <c r="Q43" s="53" t="s">
        <v>246</v>
      </c>
      <c r="R43" s="53" t="s">
        <v>200</v>
      </c>
      <c r="S43" s="53">
        <v>1368.75</v>
      </c>
      <c r="T43" s="53" t="s">
        <v>283</v>
      </c>
      <c r="U43" s="54">
        <f t="shared" si="13"/>
        <v>1.36875</v>
      </c>
      <c r="V43" s="55"/>
      <c r="W43" s="55"/>
      <c r="X43" s="55"/>
      <c r="Y43" s="55"/>
      <c r="Z43" s="60">
        <f>+U43+U44+U45</f>
        <v>4.10625</v>
      </c>
    </row>
    <row r="44" ht="15.75" customHeight="1">
      <c r="A44" s="42">
        <v>2019.0</v>
      </c>
      <c r="B44" s="42" t="s">
        <v>186</v>
      </c>
      <c r="C44" s="42" t="s">
        <v>144</v>
      </c>
      <c r="D44" s="42" t="s">
        <v>298</v>
      </c>
      <c r="E44" s="42" t="s">
        <v>306</v>
      </c>
      <c r="F44" s="42" t="s">
        <v>276</v>
      </c>
      <c r="G44" s="42" t="s">
        <v>200</v>
      </c>
      <c r="H44" s="42" t="s">
        <v>318</v>
      </c>
      <c r="I44" s="42">
        <v>25000.0</v>
      </c>
      <c r="J44" s="42">
        <f>220/1000</f>
        <v>0.22</v>
      </c>
      <c r="K44" s="42">
        <f t="shared" si="16"/>
        <v>2007.5</v>
      </c>
      <c r="P44" s="52" t="s">
        <v>93</v>
      </c>
      <c r="Q44" s="53" t="s">
        <v>287</v>
      </c>
      <c r="R44" s="53" t="s">
        <v>200</v>
      </c>
      <c r="S44" s="53">
        <v>912.5</v>
      </c>
      <c r="T44" s="53" t="s">
        <v>283</v>
      </c>
      <c r="U44" s="54">
        <f t="shared" si="13"/>
        <v>0.9125</v>
      </c>
      <c r="V44" s="55"/>
      <c r="W44" s="55"/>
      <c r="X44" s="55"/>
      <c r="Y44" s="55"/>
    </row>
    <row r="45" ht="15.75" customHeight="1">
      <c r="A45" s="42">
        <v>2019.0</v>
      </c>
      <c r="B45" s="42" t="s">
        <v>186</v>
      </c>
      <c r="C45" s="42" t="s">
        <v>144</v>
      </c>
      <c r="D45" s="42" t="s">
        <v>310</v>
      </c>
      <c r="E45" s="42" t="s">
        <v>299</v>
      </c>
      <c r="F45" s="42" t="s">
        <v>233</v>
      </c>
      <c r="G45" s="42" t="s">
        <v>200</v>
      </c>
      <c r="H45" s="42" t="s">
        <v>319</v>
      </c>
      <c r="I45" s="42">
        <v>25000.0</v>
      </c>
      <c r="J45" s="42">
        <f>90/1000</f>
        <v>0.09</v>
      </c>
      <c r="K45" s="42">
        <f t="shared" si="16"/>
        <v>821.25</v>
      </c>
      <c r="P45" s="52" t="s">
        <v>93</v>
      </c>
      <c r="Q45" s="53" t="s">
        <v>293</v>
      </c>
      <c r="R45" s="53" t="s">
        <v>200</v>
      </c>
      <c r="S45" s="53">
        <v>1825.0</v>
      </c>
      <c r="T45" s="53" t="s">
        <v>283</v>
      </c>
      <c r="U45" s="54">
        <f t="shared" si="13"/>
        <v>1.825</v>
      </c>
      <c r="V45" s="55"/>
      <c r="W45" s="55"/>
      <c r="X45" s="55"/>
      <c r="Y45" s="55"/>
    </row>
    <row r="46" ht="15.75" customHeight="1">
      <c r="A46" s="42">
        <v>2019.0</v>
      </c>
      <c r="B46" s="42" t="s">
        <v>186</v>
      </c>
      <c r="C46" s="42" t="s">
        <v>144</v>
      </c>
      <c r="D46" s="42" t="s">
        <v>310</v>
      </c>
      <c r="E46" s="42" t="s">
        <v>299</v>
      </c>
      <c r="F46" s="42" t="s">
        <v>261</v>
      </c>
      <c r="G46" s="42" t="s">
        <v>200</v>
      </c>
      <c r="H46" s="42" t="s">
        <v>321</v>
      </c>
      <c r="I46" s="42">
        <v>25000.0</v>
      </c>
      <c r="J46" s="42">
        <f>300/1000</f>
        <v>0.3</v>
      </c>
      <c r="K46" s="42">
        <f t="shared" si="16"/>
        <v>2737.5</v>
      </c>
      <c r="P46" s="42"/>
      <c r="Q46" s="39" t="s">
        <v>170</v>
      </c>
      <c r="R46" s="42"/>
      <c r="S46" s="42"/>
      <c r="T46" s="42"/>
      <c r="U46" s="42"/>
    </row>
    <row r="47" ht="15.75" customHeight="1">
      <c r="A47" s="42">
        <v>2019.0</v>
      </c>
      <c r="B47" s="42" t="s">
        <v>186</v>
      </c>
      <c r="C47" s="42" t="s">
        <v>144</v>
      </c>
      <c r="D47" s="42" t="s">
        <v>310</v>
      </c>
      <c r="E47" s="42" t="s">
        <v>299</v>
      </c>
      <c r="F47" s="42" t="s">
        <v>303</v>
      </c>
      <c r="G47" s="42" t="s">
        <v>200</v>
      </c>
      <c r="H47" s="42" t="s">
        <v>322</v>
      </c>
      <c r="I47" s="42">
        <v>25000.0</v>
      </c>
      <c r="J47" s="42">
        <f>400/1000</f>
        <v>0.4</v>
      </c>
      <c r="K47" s="42">
        <f t="shared" si="16"/>
        <v>3650</v>
      </c>
      <c r="P47" s="52" t="s">
        <v>51</v>
      </c>
      <c r="Q47" s="53" t="s">
        <v>191</v>
      </c>
      <c r="R47" s="53" t="s">
        <v>174</v>
      </c>
      <c r="S47" s="61">
        <v>1.875E10</v>
      </c>
      <c r="T47" s="53" t="s">
        <v>195</v>
      </c>
      <c r="U47" s="54">
        <f t="shared" ref="U47:U48" si="17">+S47/POWER(10,6)</f>
        <v>18750</v>
      </c>
      <c r="V47" s="55"/>
      <c r="W47" s="55"/>
      <c r="X47" s="55"/>
      <c r="Y47" s="55"/>
    </row>
    <row r="48" ht="15.75" customHeight="1">
      <c r="A48" s="42">
        <v>2019.0</v>
      </c>
      <c r="B48" s="42" t="s">
        <v>186</v>
      </c>
      <c r="C48" s="42" t="s">
        <v>144</v>
      </c>
      <c r="D48" s="42" t="s">
        <v>310</v>
      </c>
      <c r="E48" s="42" t="s">
        <v>306</v>
      </c>
      <c r="F48" s="42" t="s">
        <v>246</v>
      </c>
      <c r="G48" s="42" t="s">
        <v>200</v>
      </c>
      <c r="H48" s="42" t="s">
        <v>323</v>
      </c>
      <c r="I48" s="42">
        <v>25000.0</v>
      </c>
      <c r="J48" s="42">
        <f>150/1000</f>
        <v>0.15</v>
      </c>
      <c r="K48" s="42">
        <f t="shared" si="16"/>
        <v>1368.75</v>
      </c>
      <c r="P48" s="52" t="s">
        <v>51</v>
      </c>
      <c r="Q48" s="53" t="s">
        <v>173</v>
      </c>
      <c r="R48" s="53" t="s">
        <v>174</v>
      </c>
      <c r="S48" s="53">
        <v>4.0E7</v>
      </c>
      <c r="T48" s="53" t="s">
        <v>195</v>
      </c>
      <c r="U48" s="54">
        <f t="shared" si="17"/>
        <v>40</v>
      </c>
      <c r="V48" s="55"/>
      <c r="W48" s="55"/>
      <c r="X48" s="55"/>
      <c r="Y48" s="55"/>
    </row>
    <row r="49" ht="15.75" customHeight="1">
      <c r="A49" s="42">
        <v>2019.0</v>
      </c>
      <c r="B49" s="42" t="s">
        <v>186</v>
      </c>
      <c r="C49" s="42" t="s">
        <v>144</v>
      </c>
      <c r="D49" s="42" t="s">
        <v>310</v>
      </c>
      <c r="E49" s="42" t="s">
        <v>306</v>
      </c>
      <c r="F49" s="42" t="s">
        <v>287</v>
      </c>
      <c r="G49" s="42" t="s">
        <v>200</v>
      </c>
      <c r="H49" s="42" t="s">
        <v>324</v>
      </c>
      <c r="I49" s="42">
        <v>25000.0</v>
      </c>
      <c r="J49" s="42">
        <f>100/1000</f>
        <v>0.1</v>
      </c>
      <c r="K49" s="42">
        <f t="shared" si="16"/>
        <v>912.5</v>
      </c>
      <c r="P49" s="52" t="s">
        <v>46</v>
      </c>
      <c r="Q49" s="53" t="s">
        <v>199</v>
      </c>
      <c r="R49" s="53" t="s">
        <v>200</v>
      </c>
      <c r="S49" s="53">
        <v>1560000.0</v>
      </c>
      <c r="T49" s="53" t="s">
        <v>226</v>
      </c>
      <c r="U49" s="54">
        <f>2.205*3500*1055.056*S49/(POWER(10,6)*1000)</f>
        <v>12702.1357</v>
      </c>
      <c r="V49" s="55"/>
      <c r="W49" s="55"/>
      <c r="X49" s="55"/>
      <c r="Y49" s="55"/>
    </row>
    <row r="50" ht="15.75" customHeight="1">
      <c r="A50" s="42">
        <v>2019.0</v>
      </c>
      <c r="B50" s="42" t="s">
        <v>186</v>
      </c>
      <c r="C50" s="42" t="s">
        <v>144</v>
      </c>
      <c r="D50" s="42" t="s">
        <v>310</v>
      </c>
      <c r="E50" s="42" t="s">
        <v>306</v>
      </c>
      <c r="F50" s="42" t="s">
        <v>293</v>
      </c>
      <c r="G50" s="42" t="s">
        <v>200</v>
      </c>
      <c r="H50" s="42" t="s">
        <v>325</v>
      </c>
      <c r="I50" s="42">
        <v>25000.0</v>
      </c>
      <c r="J50" s="42">
        <f>200/1000</f>
        <v>0.2</v>
      </c>
      <c r="K50" s="42">
        <f t="shared" si="16"/>
        <v>1825</v>
      </c>
      <c r="P50" s="52" t="s">
        <v>46</v>
      </c>
      <c r="Q50" s="53" t="s">
        <v>183</v>
      </c>
      <c r="R50" s="53" t="s">
        <v>184</v>
      </c>
      <c r="S50" s="53">
        <v>1700000.0</v>
      </c>
      <c r="T50" s="53" t="s">
        <v>226</v>
      </c>
      <c r="U50" s="54">
        <f>+S50*3600000/POWER(10,12)</f>
        <v>6.12</v>
      </c>
      <c r="V50" s="55"/>
      <c r="W50" s="55"/>
      <c r="X50" s="55"/>
      <c r="Y50" s="55"/>
    </row>
    <row r="51" ht="15.75" customHeight="1">
      <c r="P51" s="52" t="s">
        <v>46</v>
      </c>
      <c r="Q51" s="53" t="s">
        <v>221</v>
      </c>
      <c r="R51" s="53" t="s">
        <v>208</v>
      </c>
      <c r="S51" s="53">
        <v>1.95E7</v>
      </c>
      <c r="T51" s="53" t="s">
        <v>226</v>
      </c>
      <c r="U51" s="54">
        <f t="shared" ref="U51:U53" si="18">+S51*3600000*41.67/POWER(10,12)</f>
        <v>2925.234</v>
      </c>
      <c r="V51" s="55"/>
      <c r="W51" s="55"/>
      <c r="X51" s="55"/>
      <c r="Y51" s="55"/>
      <c r="Z51" s="55"/>
    </row>
    <row r="52" ht="15.75" customHeight="1">
      <c r="P52" s="52" t="s">
        <v>46</v>
      </c>
      <c r="Q52" s="57" t="s">
        <v>207</v>
      </c>
      <c r="R52" s="53" t="s">
        <v>208</v>
      </c>
      <c r="S52" s="57">
        <v>2530000.0</v>
      </c>
      <c r="T52" s="53" t="s">
        <v>226</v>
      </c>
      <c r="U52" s="54">
        <f t="shared" si="18"/>
        <v>379.53036</v>
      </c>
      <c r="V52" s="55"/>
      <c r="W52" s="55"/>
      <c r="X52" s="55"/>
      <c r="Y52" s="55"/>
      <c r="Z52" s="55"/>
    </row>
    <row r="53" ht="15.75" customHeight="1">
      <c r="P53" s="62" t="s">
        <v>46</v>
      </c>
      <c r="Q53" s="63" t="s">
        <v>215</v>
      </c>
      <c r="R53" s="64" t="s">
        <v>208</v>
      </c>
      <c r="S53" s="63">
        <v>4.52E7</v>
      </c>
      <c r="T53" s="64" t="s">
        <v>226</v>
      </c>
      <c r="U53" s="65">
        <f t="shared" si="18"/>
        <v>6780.5424</v>
      </c>
      <c r="V53" s="55"/>
      <c r="W53" s="55"/>
      <c r="X53" s="55"/>
      <c r="Y53" s="55"/>
      <c r="Z53" s="60">
        <f>+U53*(1-0.37)</f>
        <v>4271.741712</v>
      </c>
      <c r="AA53" s="60">
        <f>+Z53+U51</f>
        <v>7196.975712</v>
      </c>
    </row>
    <row r="54" ht="15.75" customHeight="1"/>
    <row r="55" ht="15.75" customHeight="1">
      <c r="U55" s="10">
        <f>+U53*0.37</f>
        <v>2508.800688</v>
      </c>
    </row>
    <row r="56" ht="15.75" customHeight="1">
      <c r="U56" s="55">
        <f>+U55+U51+U52</f>
        <v>5813.565048</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63"/>
    <col customWidth="1" min="2" max="2" width="5.63"/>
    <col customWidth="1" min="3" max="3" width="10.5"/>
    <col customWidth="1" min="4" max="4" width="50.88"/>
    <col customWidth="1" min="5" max="6" width="9.38"/>
  </cols>
  <sheetData>
    <row r="1">
      <c r="A1" s="66" t="s">
        <v>328</v>
      </c>
      <c r="B1" s="66" t="s">
        <v>329</v>
      </c>
      <c r="C1" s="66" t="s">
        <v>330</v>
      </c>
      <c r="D1" s="66" t="s">
        <v>331</v>
      </c>
    </row>
    <row r="2">
      <c r="A2" s="67" t="s">
        <v>332</v>
      </c>
      <c r="B2" s="68" t="s">
        <v>333</v>
      </c>
      <c r="C2" s="69">
        <v>2.204622719056</v>
      </c>
      <c r="D2" s="70" t="s">
        <v>334</v>
      </c>
    </row>
    <row r="3">
      <c r="A3" s="67" t="s">
        <v>335</v>
      </c>
      <c r="B3" s="68" t="s">
        <v>336</v>
      </c>
      <c r="C3" s="69">
        <v>3500.0</v>
      </c>
      <c r="D3" s="70" t="s">
        <v>337</v>
      </c>
    </row>
    <row r="4">
      <c r="A4" s="67" t="s">
        <v>338</v>
      </c>
      <c r="B4" s="68" t="s">
        <v>336</v>
      </c>
      <c r="C4" s="69">
        <v>12000.0</v>
      </c>
      <c r="D4" s="70" t="s">
        <v>337</v>
      </c>
    </row>
    <row r="5">
      <c r="A5" s="67" t="s">
        <v>339</v>
      </c>
      <c r="B5" s="67" t="s">
        <v>336</v>
      </c>
      <c r="C5" s="69">
        <v>91600.0</v>
      </c>
      <c r="D5" s="70" t="s">
        <v>337</v>
      </c>
    </row>
    <row r="6">
      <c r="A6" s="67" t="s">
        <v>340</v>
      </c>
      <c r="B6" s="67" t="s">
        <v>341</v>
      </c>
      <c r="C6" s="69">
        <v>1055.05585262</v>
      </c>
      <c r="D6" s="70" t="s">
        <v>334</v>
      </c>
    </row>
    <row r="7">
      <c r="A7" s="67" t="s">
        <v>342</v>
      </c>
      <c r="B7" s="67" t="s">
        <v>343</v>
      </c>
      <c r="C7" s="69">
        <f>1/0.024</f>
        <v>41.66666667</v>
      </c>
      <c r="D7" s="70" t="s">
        <v>344</v>
      </c>
    </row>
    <row r="8">
      <c r="A8" s="67" t="s">
        <v>345</v>
      </c>
      <c r="B8" s="67" t="s">
        <v>341</v>
      </c>
      <c r="C8" s="69">
        <f>3.6*POWER(10,6)</f>
        <v>3600000</v>
      </c>
      <c r="D8" s="70" t="s">
        <v>344</v>
      </c>
    </row>
    <row r="9">
      <c r="A9" s="67" t="s">
        <v>346</v>
      </c>
      <c r="B9" s="67" t="s">
        <v>343</v>
      </c>
      <c r="C9" s="69">
        <f>1/0.019</f>
        <v>52.63157895</v>
      </c>
      <c r="D9" s="70" t="s">
        <v>344</v>
      </c>
    </row>
    <row r="12">
      <c r="A12" s="71" t="s">
        <v>347</v>
      </c>
      <c r="C12" s="72">
        <f t="shared" ref="C12:C13" si="1">+C8</f>
        <v>3600000</v>
      </c>
      <c r="D12" s="10">
        <f>+C12*0.5</f>
        <v>1800000</v>
      </c>
    </row>
    <row r="13">
      <c r="A13" s="71" t="s">
        <v>348</v>
      </c>
      <c r="C13" s="72">
        <f t="shared" si="1"/>
        <v>52.63157895</v>
      </c>
      <c r="D13" s="10">
        <f>4000/C13</f>
        <v>76</v>
      </c>
    </row>
    <row r="14">
      <c r="A14" s="71" t="s">
        <v>349</v>
      </c>
      <c r="C14" s="10">
        <f>+C2*C3*C6</f>
        <v>8141000.359</v>
      </c>
      <c r="D14" s="10">
        <f>(((50934/4)*POWER(10,12))/C14)/1000</f>
        <v>1564119.818</v>
      </c>
    </row>
    <row r="15">
      <c r="A15" s="71" t="s">
        <v>350</v>
      </c>
      <c r="C15" s="10">
        <f>+C2*C4*C6</f>
        <v>27912001.23</v>
      </c>
    </row>
    <row r="19">
      <c r="D19" s="10">
        <f>2.205*3500*1055.056</f>
        <v>8142394.68</v>
      </c>
    </row>
    <row r="20">
      <c r="D20" s="10">
        <f>52.632*3600000</f>
        <v>189475200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B2"/>
    <hyperlink r:id="rId2" ref="D2"/>
    <hyperlink r:id="rId3" ref="B3"/>
    <hyperlink r:id="rId4" ref="D3"/>
    <hyperlink r:id="rId5" ref="B4"/>
    <hyperlink r:id="rId6" ref="D4"/>
    <hyperlink r:id="rId7" ref="D5"/>
    <hyperlink r:id="rId8" ref="D6"/>
    <hyperlink r:id="rId9" ref="D7"/>
    <hyperlink r:id="rId10" ref="D8"/>
    <hyperlink r:id="rId11" ref="D9"/>
  </hyperlinks>
  <printOptions/>
  <pageMargins bottom="0.75" footer="0.0" header="0.0" left="0.7" right="0.7" top="0.75"/>
  <pageSetup orientation="landscape"/>
  <drawing r:id="rId1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13"/>
    <col customWidth="1" min="2" max="2" width="19.5"/>
    <col customWidth="1" min="3" max="3" width="48.0"/>
    <col customWidth="1" min="4" max="4" width="11.38"/>
    <col customWidth="1" min="5" max="5" width="14.13"/>
    <col customWidth="1" min="6" max="8" width="14.25"/>
    <col customWidth="1" min="9" max="9" width="10.63"/>
    <col customWidth="1" min="10" max="10" width="8.5"/>
    <col customWidth="1" min="11" max="11" width="9.13"/>
    <col customWidth="1" min="12" max="13" width="10.63"/>
    <col customWidth="1" min="14" max="14" width="15.25"/>
    <col customWidth="1" min="15" max="15" width="9.13"/>
    <col customWidth="1" min="16" max="16" width="7.0"/>
  </cols>
  <sheetData>
    <row r="1">
      <c r="A1" s="1" t="s">
        <v>157</v>
      </c>
      <c r="B1" s="1" t="s">
        <v>351</v>
      </c>
      <c r="C1" s="1" t="s">
        <v>352</v>
      </c>
      <c r="D1" s="1" t="s">
        <v>162</v>
      </c>
      <c r="E1" s="1">
        <v>2015.0</v>
      </c>
      <c r="F1" s="1">
        <v>2016.0</v>
      </c>
      <c r="G1" s="1">
        <v>2017.0</v>
      </c>
      <c r="H1" s="1">
        <v>2018.0</v>
      </c>
      <c r="I1" s="1" t="s">
        <v>353</v>
      </c>
      <c r="J1" s="1" t="s">
        <v>354</v>
      </c>
      <c r="K1" s="1" t="s">
        <v>355</v>
      </c>
      <c r="L1" s="1" t="s">
        <v>356</v>
      </c>
      <c r="M1" s="1">
        <v>2025.0</v>
      </c>
      <c r="N1" s="1">
        <v>2030.0</v>
      </c>
      <c r="O1" s="1" t="s">
        <v>357</v>
      </c>
      <c r="P1" s="1" t="s">
        <v>358</v>
      </c>
    </row>
    <row r="2">
      <c r="A2" s="28" t="s">
        <v>359</v>
      </c>
      <c r="B2" s="2" t="s">
        <v>360</v>
      </c>
      <c r="C2" s="3" t="s">
        <v>361</v>
      </c>
      <c r="D2" s="3" t="s">
        <v>184</v>
      </c>
      <c r="E2" s="73">
        <f>+F2*0.9798</f>
        <v>860436.8532</v>
      </c>
      <c r="F2" s="73">
        <f>+G2*0.956</f>
        <v>878176.0085</v>
      </c>
      <c r="G2" s="73">
        <f>+H2*0.88</f>
        <v>918594.1512</v>
      </c>
      <c r="H2" s="73">
        <f>+I2*0.99</f>
        <v>1043856.99</v>
      </c>
      <c r="I2" s="73">
        <f>+'Ejercicio 7, 8, 10'!K17</f>
        <v>1054401</v>
      </c>
      <c r="J2" s="60">
        <f t="shared" ref="J2:J3" si="1">AVERAGE(E2:I2)</f>
        <v>951093.0006</v>
      </c>
      <c r="K2" s="60">
        <f t="shared" ref="K2:K3" si="2">MAX(E2:I2)</f>
        <v>1054401</v>
      </c>
      <c r="L2" s="60">
        <f t="shared" ref="L2:L3" si="3">MIN(E2:I2)</f>
        <v>860436.8532</v>
      </c>
      <c r="M2" s="3"/>
      <c r="N2" s="3"/>
      <c r="O2" s="74"/>
      <c r="P2" s="75"/>
    </row>
    <row r="3">
      <c r="A3" s="4"/>
      <c r="B3" s="5"/>
      <c r="C3" s="3" t="s">
        <v>362</v>
      </c>
      <c r="D3" s="3" t="s">
        <v>174</v>
      </c>
      <c r="E3" s="3">
        <f>+F3*0.85</f>
        <v>52928.667</v>
      </c>
      <c r="F3" s="3">
        <f>+G3*0.953</f>
        <v>62269.02</v>
      </c>
      <c r="G3" s="3">
        <f>+H3*0.99</f>
        <v>65340</v>
      </c>
      <c r="H3" s="3">
        <f>+I3*0.88</f>
        <v>66000</v>
      </c>
      <c r="I3" s="3">
        <f>+'Ejercicio 7, 8, 10'!K12</f>
        <v>75000</v>
      </c>
      <c r="J3" s="60">
        <f t="shared" si="1"/>
        <v>64307.5374</v>
      </c>
      <c r="K3" s="60">
        <f t="shared" si="2"/>
        <v>75000</v>
      </c>
      <c r="L3" s="60">
        <f t="shared" si="3"/>
        <v>52928.667</v>
      </c>
      <c r="M3" s="3"/>
      <c r="N3" s="3"/>
      <c r="O3" s="74"/>
      <c r="P3" s="75"/>
    </row>
    <row r="4">
      <c r="A4" s="4"/>
      <c r="B4" s="2" t="s">
        <v>363</v>
      </c>
      <c r="C4" s="48" t="s">
        <v>364</v>
      </c>
      <c r="D4" s="48" t="s">
        <v>365</v>
      </c>
      <c r="E4" s="48"/>
      <c r="F4" s="48"/>
      <c r="G4" s="48"/>
      <c r="H4" s="48"/>
      <c r="I4" s="48">
        <v>700.0</v>
      </c>
      <c r="J4" s="48"/>
      <c r="K4" s="48"/>
      <c r="L4" s="48"/>
      <c r="M4" s="48">
        <v>600.0</v>
      </c>
      <c r="N4" s="48"/>
      <c r="O4" s="48" t="s">
        <v>366</v>
      </c>
      <c r="P4" s="48" t="s">
        <v>367</v>
      </c>
    </row>
    <row r="5">
      <c r="A5" s="5"/>
      <c r="B5" s="5"/>
      <c r="C5" s="48" t="s">
        <v>368</v>
      </c>
      <c r="D5" s="48" t="s">
        <v>365</v>
      </c>
      <c r="E5" s="48"/>
      <c r="F5" s="48"/>
      <c r="G5" s="48"/>
      <c r="H5" s="48"/>
      <c r="I5" s="48">
        <v>20.0</v>
      </c>
      <c r="J5" s="48"/>
      <c r="K5" s="48"/>
      <c r="L5" s="48"/>
      <c r="M5" s="48">
        <v>400.0</v>
      </c>
      <c r="N5" s="48"/>
      <c r="O5" s="48" t="s">
        <v>369</v>
      </c>
      <c r="P5" s="48" t="s">
        <v>367</v>
      </c>
    </row>
    <row r="6">
      <c r="A6" s="28" t="s">
        <v>370</v>
      </c>
      <c r="B6" s="2" t="s">
        <v>371</v>
      </c>
      <c r="C6" s="3" t="s">
        <v>372</v>
      </c>
      <c r="D6" s="3" t="s">
        <v>373</v>
      </c>
      <c r="E6" s="3"/>
      <c r="F6" s="3"/>
      <c r="G6" s="3"/>
      <c r="H6" s="3"/>
      <c r="I6" s="3">
        <v>350000.0</v>
      </c>
      <c r="J6" s="3"/>
      <c r="K6" s="3"/>
      <c r="L6" s="3"/>
      <c r="M6" s="73">
        <f>+POWER(1+0.0089,2025-2019)*I6</f>
        <v>369110.8203</v>
      </c>
      <c r="N6" s="73">
        <f>+POWER(1+0.0089,2030-2019)*I6</f>
        <v>385831.2382</v>
      </c>
      <c r="O6" s="76">
        <v>0.0089</v>
      </c>
      <c r="P6" s="3" t="s">
        <v>374</v>
      </c>
    </row>
    <row r="7">
      <c r="A7" s="4"/>
      <c r="B7" s="4"/>
      <c r="C7" s="3" t="s">
        <v>375</v>
      </c>
      <c r="D7" s="3" t="s">
        <v>373</v>
      </c>
      <c r="E7" s="3"/>
      <c r="F7" s="3"/>
      <c r="G7" s="3"/>
      <c r="H7" s="3"/>
      <c r="I7" s="3">
        <v>25000.0</v>
      </c>
      <c r="J7" s="3"/>
      <c r="K7" s="3"/>
      <c r="L7" s="3"/>
      <c r="M7" s="73">
        <f>+POWER(1+0.005,2025-2019)*I7</f>
        <v>25759.43773</v>
      </c>
      <c r="N7" s="73">
        <f>+POWER(1+0.005,2030-2019)*I7</f>
        <v>26409.89582</v>
      </c>
      <c r="O7" s="76">
        <v>0.005</v>
      </c>
      <c r="P7" s="3" t="s">
        <v>374</v>
      </c>
    </row>
    <row r="8">
      <c r="A8" s="5"/>
      <c r="B8" s="5"/>
      <c r="C8" s="3" t="s">
        <v>376</v>
      </c>
      <c r="D8" s="3" t="s">
        <v>184</v>
      </c>
      <c r="E8" s="3">
        <f>+I8*0.64</f>
        <v>240656</v>
      </c>
      <c r="F8" s="3">
        <f>+G8*0.77</f>
        <v>275062.2875</v>
      </c>
      <c r="G8" s="3">
        <f>+I8*0.95</f>
        <v>357223.75</v>
      </c>
      <c r="H8" s="3">
        <f>+I8*0.9</f>
        <v>338422.5</v>
      </c>
      <c r="I8" s="3">
        <f>+'Ejercicio 7, 8, 10'!K18</f>
        <v>376025</v>
      </c>
      <c r="J8" s="60">
        <f>AVERAGE(E8:I8)</f>
        <v>317477.9075</v>
      </c>
      <c r="K8" s="60">
        <f>MAX(E8:I8)</f>
        <v>376025</v>
      </c>
      <c r="L8" s="60">
        <f>MIN(E8:I8)</f>
        <v>240656</v>
      </c>
      <c r="M8" s="3"/>
      <c r="N8" s="3"/>
      <c r="O8" s="77"/>
      <c r="P8" s="78"/>
    </row>
    <row r="9">
      <c r="A9" s="28" t="s">
        <v>377</v>
      </c>
      <c r="B9" s="2" t="s">
        <v>378</v>
      </c>
      <c r="C9" s="3" t="s">
        <v>379</v>
      </c>
      <c r="D9" s="3" t="s">
        <v>195</v>
      </c>
      <c r="E9" s="3"/>
      <c r="F9" s="3"/>
      <c r="G9" s="3"/>
      <c r="H9" s="3"/>
      <c r="I9" s="3">
        <v>500.0</v>
      </c>
      <c r="J9" s="3"/>
      <c r="K9" s="3"/>
      <c r="L9" s="3"/>
      <c r="M9" s="3">
        <f>+I9*(1-0.05)</f>
        <v>475</v>
      </c>
      <c r="N9" s="3"/>
      <c r="O9" s="79">
        <v>-0.05</v>
      </c>
      <c r="P9" s="48" t="s">
        <v>367</v>
      </c>
    </row>
    <row r="10">
      <c r="A10" s="5"/>
      <c r="B10" s="5"/>
      <c r="C10" s="48" t="s">
        <v>380</v>
      </c>
      <c r="D10" s="48" t="s">
        <v>381</v>
      </c>
      <c r="E10" s="48"/>
      <c r="F10" s="48"/>
      <c r="G10" s="48"/>
      <c r="H10" s="48"/>
      <c r="I10" s="48">
        <v>103.02125</v>
      </c>
      <c r="J10" s="48"/>
      <c r="K10" s="48"/>
      <c r="L10" s="48"/>
      <c r="M10" s="49">
        <f>+I10*(1-0.03)</f>
        <v>99.9306125</v>
      </c>
      <c r="N10" s="48"/>
      <c r="O10" s="79">
        <v>-0.03</v>
      </c>
      <c r="P10" s="48" t="s">
        <v>367</v>
      </c>
    </row>
    <row r="11">
      <c r="F11" s="55">
        <f t="shared" ref="F11:I11" si="4">+(F2-E2)*100/E2</f>
        <v>2.061645234</v>
      </c>
      <c r="G11" s="55">
        <f t="shared" si="4"/>
        <v>4.60251046</v>
      </c>
      <c r="H11" s="55">
        <f t="shared" si="4"/>
        <v>13.63636364</v>
      </c>
      <c r="I11" s="55">
        <f t="shared" si="4"/>
        <v>1.01010101</v>
      </c>
      <c r="J11" s="55">
        <f t="shared" ref="J11:J13" si="6">AVERAGE(F11:I11)</f>
        <v>5.327655085</v>
      </c>
      <c r="K11" s="55">
        <f t="shared" ref="K11:K13" si="7">MAX(F11:I11)</f>
        <v>13.63636364</v>
      </c>
      <c r="L11" s="55">
        <f t="shared" ref="L11:L13" si="8">MIN(F11:I11)</f>
        <v>1.01010101</v>
      </c>
    </row>
    <row r="12">
      <c r="F12" s="55">
        <f t="shared" ref="F12:I12" si="5">+(F3-E3)*100/E3</f>
        <v>17.64705882</v>
      </c>
      <c r="G12" s="55">
        <f t="shared" si="5"/>
        <v>4.931794334</v>
      </c>
      <c r="H12" s="55">
        <f t="shared" si="5"/>
        <v>1.01010101</v>
      </c>
      <c r="I12" s="55">
        <f t="shared" si="5"/>
        <v>13.63636364</v>
      </c>
      <c r="J12" s="55">
        <f t="shared" si="6"/>
        <v>9.306329451</v>
      </c>
      <c r="K12" s="55">
        <f t="shared" si="7"/>
        <v>17.64705882</v>
      </c>
      <c r="L12" s="55">
        <f t="shared" si="8"/>
        <v>1.01010101</v>
      </c>
    </row>
    <row r="13">
      <c r="F13" s="55">
        <f t="shared" ref="F13:I13" si="9">+(F8-E8)*100/E8</f>
        <v>14.296875</v>
      </c>
      <c r="G13" s="55">
        <f t="shared" si="9"/>
        <v>29.87012987</v>
      </c>
      <c r="H13" s="55">
        <f t="shared" si="9"/>
        <v>-5.263157895</v>
      </c>
      <c r="I13" s="55">
        <f t="shared" si="9"/>
        <v>11.11111111</v>
      </c>
      <c r="J13" s="55">
        <f t="shared" si="6"/>
        <v>12.50373952</v>
      </c>
      <c r="K13" s="55">
        <f t="shared" si="7"/>
        <v>29.87012987</v>
      </c>
      <c r="L13" s="55">
        <f t="shared" si="8"/>
        <v>-5.263157895</v>
      </c>
      <c r="O13" s="35"/>
    </row>
    <row r="14">
      <c r="O14" s="35"/>
    </row>
    <row r="15">
      <c r="O15" s="3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A5"/>
    <mergeCell ref="B2:B3"/>
    <mergeCell ref="B4:B5"/>
    <mergeCell ref="A6:A8"/>
    <mergeCell ref="B6:B8"/>
    <mergeCell ref="A9:A10"/>
    <mergeCell ref="B9:B10"/>
  </mergeCells>
  <printOptions/>
  <pageMargins bottom="0.75" footer="0.0" header="0.0" left="0.7" right="0.7" top="0.75"/>
  <pageSetup orientation="landscape"/>
  <drawing r:id="rId1"/>
</worksheet>
</file>